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7400" windowHeight="6285" tabRatio="601" firstSheet="2" activeTab="11"/>
  </bookViews>
  <sheets>
    <sheet name="Riepilogo" sheetId="1" r:id="rId1"/>
    <sheet name="Tabella a" sheetId="2" r:id="rId2"/>
    <sheet name="Tabella b" sheetId="3" r:id="rId3"/>
    <sheet name="Tabella c" sheetId="4" r:id="rId4"/>
    <sheet name="Tabella d" sheetId="5" r:id="rId5"/>
    <sheet name="Tabella e" sheetId="6" r:id="rId6"/>
    <sheet name="Tabella f" sheetId="7" r:id="rId7"/>
    <sheet name="Tabella g" sheetId="8" r:id="rId8"/>
    <sheet name="Tabella h" sheetId="9" r:id="rId9"/>
    <sheet name="Tabella i" sheetId="10" r:id="rId10"/>
    <sheet name="Tabella l" sheetId="11" r:id="rId11"/>
    <sheet name="Tabella m" sheetId="12" r:id="rId12"/>
  </sheets>
  <definedNames>
    <definedName name="_xlnm.Print_Area" localSheetId="0">'Riepilogo'!$C$3:$I$46</definedName>
    <definedName name="_xlnm.Print_Area" localSheetId="1">'Tabella a'!$B$1:$I$46</definedName>
    <definedName name="_xlnm.Print_Area" localSheetId="2">'Tabella b'!$B$1:$I$46</definedName>
    <definedName name="_xlnm.Print_Area" localSheetId="3">'Tabella c'!$A$2:$S$35</definedName>
    <definedName name="_xlnm.Print_Area" localSheetId="4">'Tabella d'!$A$2:$S$35</definedName>
    <definedName name="_xlnm.Print_Area" localSheetId="5">'Tabella e'!$A$2:$I$32</definedName>
    <definedName name="_xlnm.Print_Area" localSheetId="6">'Tabella f'!$B$2:$K$20</definedName>
    <definedName name="_xlnm.Print_Area" localSheetId="7">'Tabella g'!$A$2:$R$46</definedName>
    <definedName name="_xlnm.Print_Area" localSheetId="8">'Tabella h'!$A$3:$G$17</definedName>
    <definedName name="_xlnm.Print_Area" localSheetId="9">'Tabella i'!$B$2:$M$26</definedName>
    <definedName name="_xlnm.Print_Area" localSheetId="10">'Tabella l'!$A$1:$K$101</definedName>
  </definedNames>
  <calcPr fullCalcOnLoad="1"/>
</workbook>
</file>

<file path=xl/sharedStrings.xml><?xml version="1.0" encoding="utf-8"?>
<sst xmlns="http://schemas.openxmlformats.org/spreadsheetml/2006/main" count="578" uniqueCount="164">
  <si>
    <t>RIEPILOGO COSTI</t>
  </si>
  <si>
    <t>Periodo</t>
  </si>
  <si>
    <t xml:space="preserve">Anno </t>
  </si>
  <si>
    <t>Oggetto</t>
  </si>
  <si>
    <t xml:space="preserve">Costo </t>
  </si>
  <si>
    <t>Costo complessivo annuo</t>
  </si>
  <si>
    <t xml:space="preserve">Riferimento </t>
  </si>
  <si>
    <t>TOTALE</t>
  </si>
  <si>
    <t xml:space="preserve">TOTALE </t>
  </si>
  <si>
    <t xml:space="preserve">INCREMENTO SALARIO INTEGRATIVO AZIENDALE   </t>
  </si>
  <si>
    <t xml:space="preserve">INCREMENTO </t>
  </si>
  <si>
    <t xml:space="preserve">ONERI </t>
  </si>
  <si>
    <t xml:space="preserve">NUMERO </t>
  </si>
  <si>
    <t xml:space="preserve">COSTO </t>
  </si>
  <si>
    <t xml:space="preserve">ORARIO </t>
  </si>
  <si>
    <t xml:space="preserve">CARICO </t>
  </si>
  <si>
    <t>TFR</t>
  </si>
  <si>
    <t>TERZO</t>
  </si>
  <si>
    <t>COSTO</t>
  </si>
  <si>
    <t xml:space="preserve">ORE </t>
  </si>
  <si>
    <t xml:space="preserve">COMPLESSIVO </t>
  </si>
  <si>
    <t xml:space="preserve">LIVELLI </t>
  </si>
  <si>
    <t>SAL. INTEG.</t>
  </si>
  <si>
    <t xml:space="preserve">ENTE </t>
  </si>
  <si>
    <t>ELEMENTO</t>
  </si>
  <si>
    <t>ORARIO</t>
  </si>
  <si>
    <t xml:space="preserve">LAVORATE </t>
  </si>
  <si>
    <t>ANNO</t>
  </si>
  <si>
    <t>COMPLESSIVO</t>
  </si>
  <si>
    <t>DIPENDENTI</t>
  </si>
  <si>
    <t xml:space="preserve">MENSILE </t>
  </si>
  <si>
    <t>ANNUO</t>
  </si>
  <si>
    <t>MENSILE</t>
  </si>
  <si>
    <t>ENPAIA</t>
  </si>
  <si>
    <t xml:space="preserve">MESI </t>
  </si>
  <si>
    <t xml:space="preserve">MEDI </t>
  </si>
  <si>
    <t xml:space="preserve">ANNUALE </t>
  </si>
  <si>
    <t>Indennità Sostitutiva Mensa</t>
  </si>
  <si>
    <t>OPERAI E IMPIEGATI FORESTALI</t>
  </si>
  <si>
    <t>TIPO CONTRATTO</t>
  </si>
  <si>
    <t>PERIODO</t>
  </si>
  <si>
    <t>COSTO TOTALE  ANNUALE</t>
  </si>
  <si>
    <t>DIFFERENZA CON ONERI RIFLESSI</t>
  </si>
  <si>
    <t>DIFFERENZA</t>
  </si>
  <si>
    <t>COSTO TOTALE</t>
  </si>
  <si>
    <t>INDENNITA' SOSTITUTIVA DEL SERVIZIO MENSA</t>
  </si>
  <si>
    <t>NUOVA INDENNITA'</t>
  </si>
  <si>
    <t>VECCHIA INDENNITA'</t>
  </si>
  <si>
    <t>GIORNATE LAVORATIVE</t>
  </si>
  <si>
    <t>Tabella a)</t>
  </si>
  <si>
    <t>Tabella b)</t>
  </si>
  <si>
    <t>Tabella c)</t>
  </si>
  <si>
    <t>Tabella d)</t>
  </si>
  <si>
    <t>Tabella e)</t>
  </si>
  <si>
    <t>Tabella f)</t>
  </si>
  <si>
    <t>Tabella g)</t>
  </si>
  <si>
    <t>OPERAI A TEMPO DETERMINATO</t>
  </si>
  <si>
    <t>OPERAI A TEMPO INDETERMINATO</t>
  </si>
  <si>
    <t>IMPIEGATI  A TEMPO DETERMINATO</t>
  </si>
  <si>
    <t>IMPIEGATI A TEMPO INDETERMINATO</t>
  </si>
  <si>
    <t>ONERI</t>
  </si>
  <si>
    <t>NUMERO</t>
  </si>
  <si>
    <t>Tabella h)</t>
  </si>
  <si>
    <t>CATEGORIE DI INTERVENTI</t>
  </si>
  <si>
    <t>TOTALE €</t>
  </si>
  <si>
    <t>INDENNITÀ PER LAVORI DISAGIATI</t>
  </si>
  <si>
    <t>13^ - 14^ MENSILITA'</t>
  </si>
  <si>
    <t xml:space="preserve">VECCHIA MAGGIORAZIONE  MENSILE </t>
  </si>
  <si>
    <t>DIFFERENZA      MENSILE</t>
  </si>
  <si>
    <t xml:space="preserve">MAGGIORAZIONE  MENSILE </t>
  </si>
  <si>
    <t>N. GG. ATTIVITA'</t>
  </si>
  <si>
    <t>TOTALE ANNUO</t>
  </si>
  <si>
    <t>CARENZA E INTEGRAZIONE MALATTIA</t>
  </si>
  <si>
    <t>Tabella l)</t>
  </si>
  <si>
    <t>Tabella i)</t>
  </si>
  <si>
    <t>Carenza e integrazione malattia</t>
  </si>
  <si>
    <t>Indennità per lavori disagiati</t>
  </si>
  <si>
    <t>N. ADDETTI</t>
  </si>
  <si>
    <t>GIORNI</t>
  </si>
  <si>
    <t>DIFFERENZA TRA 50% E 80%</t>
  </si>
  <si>
    <t>80% RETRIBUZIONE REALE</t>
  </si>
  <si>
    <t>PERIODO 01/01/2008 - 31/12/2008</t>
  </si>
  <si>
    <t>PERIODO 01/01/2009 - 31/12/2009</t>
  </si>
  <si>
    <t>PERIODO 01/01/2010 - 31/12/2010</t>
  </si>
  <si>
    <t>01/01/2008      31/12/2008</t>
  </si>
  <si>
    <t>01/01/2009     31/12/2009</t>
  </si>
  <si>
    <t>01/01/2010     31/12/2010</t>
  </si>
  <si>
    <t>INDENNITA' DI PERNOTTAMENTO</t>
  </si>
  <si>
    <t>Uso demolitore e/o rizollatrice</t>
  </si>
  <si>
    <t>Ausilio del mezzo aereo</t>
  </si>
  <si>
    <t>Montaggio e smontaggio teleferiche</t>
  </si>
  <si>
    <t>GIORNATE</t>
  </si>
  <si>
    <t>Ex agricoli</t>
  </si>
  <si>
    <t>UNA TANTUM</t>
  </si>
  <si>
    <t>IMPORTO</t>
  </si>
  <si>
    <t>MESI</t>
  </si>
  <si>
    <t>LAVORATI</t>
  </si>
  <si>
    <t>UNA TANTUM RAPPORTATA AI MESI LAVORATI</t>
  </si>
  <si>
    <t>CARICO</t>
  </si>
  <si>
    <t>ENTE</t>
  </si>
  <si>
    <t>PERIODO 01/01/2006 - 31/12/2006</t>
  </si>
  <si>
    <t>ANNUALE</t>
  </si>
  <si>
    <t>ANNAULE</t>
  </si>
  <si>
    <t>INDENNITA' DI PERNOTTAMENTO IN RIFUGIO</t>
  </si>
  <si>
    <t>INCARICO TEMPORANEO ALLA QUALIFICA DI VICE CAPO OPERAIO E VICE CAPO SQUADRA</t>
  </si>
  <si>
    <t>01/01/2008        31/12/2008</t>
  </si>
  <si>
    <t>01/01/2009        31/12/2009</t>
  </si>
  <si>
    <t>01/01/2010        31/12/2010</t>
  </si>
  <si>
    <t>INCARICO TEMPORANEO VICE CAPO OPERAIO TEMPO INDETERMINATO</t>
  </si>
  <si>
    <t>INCARICO TEMPORANEO VICE CAPO OPERAIO TEMPO DETERMINATO</t>
  </si>
  <si>
    <t>INCARICO TEMPORANEO VICE CAPO SQUADRA TEMPO INDETERMINATO</t>
  </si>
  <si>
    <t>INCARICO TEMPORANEO VICE CAPO SQUADRA TEMPO DETERMINATO</t>
  </si>
  <si>
    <t xml:space="preserve">ONERI RIFLESSI SU 13^ - 14^ MENSILITA' </t>
  </si>
  <si>
    <t>INCARICO TEMPORANEO ALLA QUALIFICA DI CAPO OPERAIO E CAPO SQUADRA</t>
  </si>
  <si>
    <t>INCARICO TEMPORANEO CAPO OPERAIO TEMPO INDETERMINATO</t>
  </si>
  <si>
    <t>INCARICO TEMPORANEO CAPO OPERAIO TEMPO DETERMINATO</t>
  </si>
  <si>
    <t>INCARICO TEMPORANEO CAPO SQUADRA TEMPO INDETERMINATO</t>
  </si>
  <si>
    <t>INCARICO TEMPORANEO CAPO SQUADRA TEMPO DETERMINATO</t>
  </si>
  <si>
    <t>INCENTIVI PER LAVORI IN ECONOMIA</t>
  </si>
  <si>
    <t>TIPO INTERVENTO</t>
  </si>
  <si>
    <t>ALTA COMPLESSITA'</t>
  </si>
  <si>
    <t>MEDIA COMPLESSITA'</t>
  </si>
  <si>
    <t>BASSA COMPLESSITA'</t>
  </si>
  <si>
    <t>PROGETTAZIONE</t>
  </si>
  <si>
    <t>DIREZIONE LAVORI</t>
  </si>
  <si>
    <t>PIANO SICUREZZA</t>
  </si>
  <si>
    <t>01/01/2008         31/12/2008</t>
  </si>
  <si>
    <t>01/01/2009         31/12/2009</t>
  </si>
  <si>
    <t>01/01/2010         31/12/2010</t>
  </si>
  <si>
    <t>TIPO COMPLESSITA'</t>
  </si>
  <si>
    <t>COMPENSO FORFETARIO LORDO</t>
  </si>
  <si>
    <t xml:space="preserve">ONERI RIFLESSI  </t>
  </si>
  <si>
    <t xml:space="preserve">COSTO TOTALE  </t>
  </si>
  <si>
    <t>N. INTERVENTI</t>
  </si>
  <si>
    <t>ANNO 2008</t>
  </si>
  <si>
    <t>ANNO 2009</t>
  </si>
  <si>
    <t>ANNO 2010</t>
  </si>
  <si>
    <t>50% RETRIBUZIONE REALE</t>
  </si>
  <si>
    <t>RETRIBUZIONE REALE</t>
  </si>
  <si>
    <t>DAL 3° AL 5° GIORNO</t>
  </si>
  <si>
    <t>DAL 7° AL 10° GIORNO</t>
  </si>
  <si>
    <t>Una tantum</t>
  </si>
  <si>
    <t>01/01/2006 - 31/12/2006</t>
  </si>
  <si>
    <t>13^ 14^ su incarico temporaneo dei capi squadra e operaio</t>
  </si>
  <si>
    <t>01/01/2007 - 31/12/2007</t>
  </si>
  <si>
    <t>01/01/2008 - 31/12/2008</t>
  </si>
  <si>
    <t>01/01/2009 - 31/12/2009</t>
  </si>
  <si>
    <t>01/01/2010 - 31/12/2010</t>
  </si>
  <si>
    <t>13^ 14^ su incarico temporaneo dei vice capi squadra e operaio</t>
  </si>
  <si>
    <t>Indennità di pernottamento</t>
  </si>
  <si>
    <t>Indennità di pernottamento in rifugio</t>
  </si>
  <si>
    <t>Incentivi per lavori in economia</t>
  </si>
  <si>
    <t>Incremento Salario Integrativo Aziendale dal 01/01/2008</t>
  </si>
  <si>
    <t>TFR     ENPAIA</t>
  </si>
  <si>
    <t>COSTO MENSILE</t>
  </si>
  <si>
    <t>COSTO GIORNALIERO</t>
  </si>
  <si>
    <t>N. GIORNATE</t>
  </si>
  <si>
    <t>Tabella m)</t>
  </si>
  <si>
    <t xml:space="preserve">INCREMENTO FORFETARIO DEL FONDO UNICO AZIENDALE   </t>
  </si>
  <si>
    <t>01/01/20008 - 31/12/2008</t>
  </si>
  <si>
    <t>INCREMENTO</t>
  </si>
  <si>
    <t>Incremento forfetario del F.U.A.</t>
  </si>
  <si>
    <t>ONERI A CARICO ENTE</t>
  </si>
  <si>
    <t>PERIODO 01/01/2007 - 31/12/2008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</si>
</sst>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mmmm\-yy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#,##0.000_ ;\-#,##0.000\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d\ mmmm\ yyyy"/>
    <numFmt numFmtId="185" formatCode="d/m"/>
    <numFmt numFmtId="186" formatCode="0_ ;\-0\ "/>
    <numFmt numFmtId="187" formatCode="0.000%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#,##0.0"/>
    <numFmt numFmtId="197" formatCode="0.00000000"/>
    <numFmt numFmtId="198" formatCode="_-* #,##0.0000_-;\-* #,##0.0000_-;_-* &quot;-&quot;_-;_-@_-"/>
    <numFmt numFmtId="199" formatCode="#,##0.00_ ;\-#,##0.00\ "/>
    <numFmt numFmtId="200" formatCode="#,##0.0000_ ;\-#,##0.0000\ "/>
    <numFmt numFmtId="201" formatCode="_-* #,##0.00000_-;\-* #,##0.00000_-;_-* &quot;-&quot;_-;_-@_-"/>
    <numFmt numFmtId="202" formatCode="_-* #,##0.0_-;\-* #,##0.0_-;_-* &quot;-&quot;??_-;_-@_-"/>
    <numFmt numFmtId="203" formatCode="_-* #,##0_-;\-* #,##0_-;_-* &quot;-&quot;??_-;_-@_-"/>
    <numFmt numFmtId="204" formatCode="0.000000000"/>
    <numFmt numFmtId="205" formatCode="0.0000000000"/>
    <numFmt numFmtId="206" formatCode="_-* #,##0.0_-;\-* #,##0.0_-;_-* &quot;-&quot;?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0.0000%"/>
    <numFmt numFmtId="211" formatCode="_-* #,##0.0000_-;\-* #,##0.0000_-;_-* &quot;-&quot;????_-;_-@_-"/>
    <numFmt numFmtId="212" formatCode="_-* #,##0.000000_-;\-* #,##0.000000_-;_-* &quot;-&quot;??_-;_-@_-"/>
    <numFmt numFmtId="213" formatCode="0.00000%"/>
    <numFmt numFmtId="214" formatCode="_-* #,##0.000_-;\-* #,##0.000_-;_-* &quot;-&quot;???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41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0" fillId="0" borderId="14" xfId="0" applyNumberFormat="1" applyBorder="1" applyAlignment="1">
      <alignment horizontal="center"/>
    </xf>
    <xf numFmtId="41" fontId="0" fillId="0" borderId="0" xfId="16" applyFont="1" applyAlignment="1">
      <alignment/>
    </xf>
    <xf numFmtId="41" fontId="2" fillId="0" borderId="15" xfId="16" applyFont="1" applyBorder="1" applyAlignment="1">
      <alignment horizontal="center"/>
    </xf>
    <xf numFmtId="41" fontId="2" fillId="0" borderId="16" xfId="16" applyFont="1" applyBorder="1" applyAlignment="1">
      <alignment horizontal="center"/>
    </xf>
    <xf numFmtId="41" fontId="2" fillId="0" borderId="5" xfId="16" applyFont="1" applyBorder="1" applyAlignment="1">
      <alignment/>
    </xf>
    <xf numFmtId="41" fontId="2" fillId="0" borderId="8" xfId="16" applyFont="1" applyBorder="1" applyAlignment="1">
      <alignment/>
    </xf>
    <xf numFmtId="41" fontId="2" fillId="0" borderId="9" xfId="16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3" fontId="0" fillId="0" borderId="8" xfId="0" applyNumberFormat="1" applyBorder="1" applyAlignment="1">
      <alignment horizontal="center"/>
    </xf>
    <xf numFmtId="41" fontId="0" fillId="0" borderId="0" xfId="16" applyFont="1" applyAlignment="1">
      <alignment/>
    </xf>
    <xf numFmtId="41" fontId="2" fillId="0" borderId="2" xfId="16" applyFont="1" applyBorder="1" applyAlignment="1">
      <alignment/>
    </xf>
    <xf numFmtId="41" fontId="2" fillId="0" borderId="3" xfId="16" applyFont="1" applyBorder="1" applyAlignment="1">
      <alignment/>
    </xf>
    <xf numFmtId="41" fontId="2" fillId="0" borderId="18" xfId="16" applyFont="1" applyBorder="1" applyAlignment="1">
      <alignment/>
    </xf>
    <xf numFmtId="41" fontId="2" fillId="0" borderId="19" xfId="16" applyFont="1" applyBorder="1" applyAlignment="1">
      <alignment/>
    </xf>
    <xf numFmtId="41" fontId="2" fillId="0" borderId="20" xfId="16" applyFont="1" applyBorder="1" applyAlignment="1">
      <alignment horizontal="center"/>
    </xf>
    <xf numFmtId="41" fontId="2" fillId="0" borderId="21" xfId="16" applyFont="1" applyBorder="1" applyAlignment="1">
      <alignment horizontal="center"/>
    </xf>
    <xf numFmtId="41" fontId="2" fillId="0" borderId="10" xfId="16" applyFont="1" applyBorder="1" applyAlignment="1">
      <alignment horizontal="center"/>
    </xf>
    <xf numFmtId="41" fontId="2" fillId="0" borderId="22" xfId="16" applyFont="1" applyBorder="1" applyAlignment="1">
      <alignment horizontal="center"/>
    </xf>
    <xf numFmtId="41" fontId="2" fillId="0" borderId="23" xfId="16" applyFont="1" applyBorder="1" applyAlignment="1">
      <alignment horizontal="center"/>
    </xf>
    <xf numFmtId="41" fontId="2" fillId="0" borderId="24" xfId="16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1" fontId="2" fillId="0" borderId="2" xfId="16" applyNumberFormat="1" applyFont="1" applyBorder="1" applyAlignment="1">
      <alignment/>
    </xf>
    <xf numFmtId="0" fontId="0" fillId="0" borderId="19" xfId="0" applyBorder="1" applyAlignment="1">
      <alignment/>
    </xf>
    <xf numFmtId="10" fontId="2" fillId="0" borderId="24" xfId="16" applyNumberFormat="1" applyFont="1" applyBorder="1" applyAlignment="1">
      <alignment horizontal="center"/>
    </xf>
    <xf numFmtId="194" fontId="2" fillId="0" borderId="24" xfId="16" applyNumberFormat="1" applyFont="1" applyBorder="1" applyAlignment="1">
      <alignment horizontal="center"/>
    </xf>
    <xf numFmtId="194" fontId="2" fillId="0" borderId="3" xfId="16" applyNumberFormat="1" applyFont="1" applyBorder="1" applyAlignment="1">
      <alignment/>
    </xf>
    <xf numFmtId="194" fontId="2" fillId="0" borderId="14" xfId="16" applyNumberFormat="1" applyFont="1" applyBorder="1" applyAlignment="1">
      <alignment/>
    </xf>
    <xf numFmtId="41" fontId="2" fillId="0" borderId="7" xfId="16" applyFont="1" applyBorder="1" applyAlignment="1">
      <alignment/>
    </xf>
    <xf numFmtId="194" fontId="2" fillId="0" borderId="2" xfId="16" applyNumberFormat="1" applyFont="1" applyBorder="1" applyAlignment="1">
      <alignment/>
    </xf>
    <xf numFmtId="194" fontId="2" fillId="0" borderId="1" xfId="16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2" xfId="16" applyNumberFormat="1" applyFont="1" applyBorder="1" applyAlignment="1">
      <alignment/>
    </xf>
    <xf numFmtId="43" fontId="2" fillId="0" borderId="19" xfId="16" applyNumberFormat="1" applyFont="1" applyBorder="1" applyAlignment="1">
      <alignment/>
    </xf>
    <xf numFmtId="43" fontId="2" fillId="0" borderId="14" xfId="16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94" fontId="0" fillId="0" borderId="0" xfId="16" applyNumberFormat="1" applyAlignment="1">
      <alignment/>
    </xf>
    <xf numFmtId="0" fontId="8" fillId="0" borderId="26" xfId="0" applyFont="1" applyFill="1" applyBorder="1" applyAlignment="1">
      <alignment horizontal="center"/>
    </xf>
    <xf numFmtId="0" fontId="3" fillId="0" borderId="0" xfId="0" applyFont="1" applyAlignment="1">
      <alignment/>
    </xf>
    <xf numFmtId="41" fontId="4" fillId="0" borderId="0" xfId="16" applyFont="1" applyFill="1" applyBorder="1" applyAlignment="1">
      <alignment horizontal="left"/>
    </xf>
    <xf numFmtId="1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" fillId="0" borderId="0" xfId="0" applyFont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94" fontId="0" fillId="0" borderId="3" xfId="0" applyNumberFormat="1" applyBorder="1" applyAlignment="1">
      <alignment horizontal="center" vertical="center" wrapText="1"/>
    </xf>
    <xf numFmtId="194" fontId="0" fillId="0" borderId="3" xfId="16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1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3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194" fontId="2" fillId="0" borderId="21" xfId="16" applyNumberFormat="1" applyFont="1" applyBorder="1" applyAlignment="1">
      <alignment/>
    </xf>
    <xf numFmtId="194" fontId="2" fillId="0" borderId="20" xfId="16" applyNumberFormat="1" applyFont="1" applyBorder="1" applyAlignment="1">
      <alignment/>
    </xf>
    <xf numFmtId="194" fontId="1" fillId="0" borderId="33" xfId="16" applyNumberFormat="1" applyFont="1" applyBorder="1" applyAlignment="1">
      <alignment/>
    </xf>
    <xf numFmtId="41" fontId="2" fillId="0" borderId="0" xfId="16" applyFont="1" applyBorder="1" applyAlignment="1">
      <alignment/>
    </xf>
    <xf numFmtId="41" fontId="1" fillId="0" borderId="0" xfId="16" applyFont="1" applyBorder="1" applyAlignment="1">
      <alignment/>
    </xf>
    <xf numFmtId="41" fontId="3" fillId="0" borderId="0" xfId="16" applyFont="1" applyAlignment="1">
      <alignment/>
    </xf>
    <xf numFmtId="43" fontId="0" fillId="0" borderId="0" xfId="0" applyNumberFormat="1" applyAlignment="1">
      <alignment/>
    </xf>
    <xf numFmtId="9" fontId="0" fillId="0" borderId="0" xfId="17" applyAlignment="1">
      <alignment/>
    </xf>
    <xf numFmtId="41" fontId="2" fillId="0" borderId="21" xfId="16" applyFont="1" applyFill="1" applyBorder="1" applyAlignment="1">
      <alignment horizontal="center"/>
    </xf>
    <xf numFmtId="41" fontId="2" fillId="0" borderId="22" xfId="16" applyFont="1" applyFill="1" applyBorder="1" applyAlignment="1">
      <alignment horizontal="center"/>
    </xf>
    <xf numFmtId="41" fontId="2" fillId="0" borderId="24" xfId="16" applyFont="1" applyFill="1" applyBorder="1" applyAlignment="1">
      <alignment horizontal="center"/>
    </xf>
    <xf numFmtId="41" fontId="3" fillId="0" borderId="0" xfId="0" applyNumberFormat="1" applyFont="1" applyAlignment="1">
      <alignment/>
    </xf>
    <xf numFmtId="41" fontId="2" fillId="0" borderId="34" xfId="16" applyFont="1" applyBorder="1" applyAlignment="1">
      <alignment horizontal="center"/>
    </xf>
    <xf numFmtId="194" fontId="2" fillId="0" borderId="35" xfId="16" applyNumberFormat="1" applyFont="1" applyBorder="1" applyAlignment="1">
      <alignment/>
    </xf>
    <xf numFmtId="194" fontId="2" fillId="0" borderId="36" xfId="16" applyNumberFormat="1" applyFont="1" applyBorder="1" applyAlignment="1">
      <alignment/>
    </xf>
    <xf numFmtId="194" fontId="2" fillId="0" borderId="37" xfId="16" applyNumberFormat="1" applyFont="1" applyBorder="1" applyAlignment="1">
      <alignment/>
    </xf>
    <xf numFmtId="194" fontId="2" fillId="0" borderId="34" xfId="16" applyNumberFormat="1" applyFont="1" applyBorder="1" applyAlignment="1">
      <alignment/>
    </xf>
    <xf numFmtId="0" fontId="0" fillId="0" borderId="33" xfId="0" applyBorder="1" applyAlignment="1">
      <alignment horizontal="center" vertical="center"/>
    </xf>
    <xf numFmtId="41" fontId="0" fillId="0" borderId="1" xfId="0" applyNumberFormat="1" applyBorder="1" applyAlignment="1">
      <alignment/>
    </xf>
    <xf numFmtId="41" fontId="0" fillId="0" borderId="38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194" fontId="2" fillId="0" borderId="15" xfId="16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39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94" fontId="0" fillId="0" borderId="36" xfId="16" applyNumberFormat="1" applyBorder="1" applyAlignment="1">
      <alignment vertical="center" wrapText="1"/>
    </xf>
    <xf numFmtId="194" fontId="0" fillId="0" borderId="41" xfId="16" applyNumberForma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9" fontId="1" fillId="0" borderId="33" xfId="16" applyNumberFormat="1" applyFont="1" applyBorder="1" applyAlignment="1">
      <alignment/>
    </xf>
    <xf numFmtId="2" fontId="0" fillId="0" borderId="2" xfId="0" applyNumberFormat="1" applyFont="1" applyBorder="1" applyAlignment="1">
      <alignment horizontal="center" vertical="center" wrapText="1"/>
    </xf>
    <xf numFmtId="41" fontId="0" fillId="0" borderId="43" xfId="16" applyFont="1" applyBorder="1" applyAlignment="1">
      <alignment/>
    </xf>
    <xf numFmtId="2" fontId="0" fillId="0" borderId="43" xfId="16" applyNumberFormat="1" applyFont="1" applyBorder="1" applyAlignment="1">
      <alignment/>
    </xf>
    <xf numFmtId="0" fontId="0" fillId="0" borderId="2" xfId="0" applyFont="1" applyBorder="1" applyAlignment="1">
      <alignment vertical="center" wrapText="1"/>
    </xf>
    <xf numFmtId="3" fontId="0" fillId="0" borderId="44" xfId="0" applyNumberFormat="1" applyBorder="1" applyAlignment="1">
      <alignment/>
    </xf>
    <xf numFmtId="43" fontId="1" fillId="0" borderId="2" xfId="0" applyNumberFormat="1" applyFont="1" applyBorder="1" applyAlignment="1">
      <alignment/>
    </xf>
    <xf numFmtId="194" fontId="10" fillId="0" borderId="2" xfId="16" applyNumberFormat="1" applyFont="1" applyBorder="1" applyAlignment="1">
      <alignment/>
    </xf>
    <xf numFmtId="41" fontId="10" fillId="0" borderId="2" xfId="16" applyFont="1" applyBorder="1" applyAlignment="1">
      <alignment horizontal="center"/>
    </xf>
    <xf numFmtId="0" fontId="1" fillId="0" borderId="2" xfId="0" applyFont="1" applyBorder="1" applyAlignment="1">
      <alignment/>
    </xf>
    <xf numFmtId="194" fontId="1" fillId="0" borderId="2" xfId="16" applyNumberFormat="1" applyFont="1" applyBorder="1" applyAlignment="1">
      <alignment/>
    </xf>
    <xf numFmtId="3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93" fontId="0" fillId="0" borderId="0" xfId="16" applyNumberFormat="1" applyBorder="1" applyAlignment="1">
      <alignment vertical="center" wrapText="1"/>
    </xf>
    <xf numFmtId="0" fontId="0" fillId="0" borderId="0" xfId="0" applyBorder="1" applyAlignment="1">
      <alignment/>
    </xf>
    <xf numFmtId="194" fontId="0" fillId="0" borderId="0" xfId="16" applyNumberFormat="1" applyBorder="1" applyAlignment="1">
      <alignment vertical="center"/>
    </xf>
    <xf numFmtId="0" fontId="1" fillId="0" borderId="0" xfId="0" applyFont="1" applyBorder="1" applyAlignment="1">
      <alignment/>
    </xf>
    <xf numFmtId="194" fontId="1" fillId="0" borderId="0" xfId="16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94" fontId="0" fillId="0" borderId="0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/>
    </xf>
    <xf numFmtId="194" fontId="0" fillId="0" borderId="22" xfId="0" applyNumberFormat="1" applyBorder="1" applyAlignment="1">
      <alignment horizontal="center" vertical="center" wrapText="1"/>
    </xf>
    <xf numFmtId="194" fontId="0" fillId="0" borderId="22" xfId="16" applyNumberFormat="1" applyBorder="1" applyAlignment="1">
      <alignment horizontal="center" vertical="center"/>
    </xf>
    <xf numFmtId="194" fontId="0" fillId="0" borderId="35" xfId="16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94" fontId="0" fillId="0" borderId="16" xfId="16" applyNumberFormat="1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93" fontId="0" fillId="0" borderId="36" xfId="16" applyNumberFormat="1" applyBorder="1" applyAlignment="1">
      <alignment vertical="center" wrapText="1"/>
    </xf>
    <xf numFmtId="4" fontId="0" fillId="0" borderId="46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8" fillId="0" borderId="0" xfId="0" applyFont="1" applyFill="1" applyBorder="1" applyAlignment="1">
      <alignment horizontal="center"/>
    </xf>
    <xf numFmtId="194" fontId="0" fillId="0" borderId="2" xfId="16" applyNumberFormat="1" applyBorder="1" applyAlignment="1">
      <alignment horizontal="center" vertical="center"/>
    </xf>
    <xf numFmtId="41" fontId="0" fillId="0" borderId="2" xfId="16" applyBorder="1" applyAlignment="1">
      <alignment horizontal="right" vertical="center"/>
    </xf>
    <xf numFmtId="194" fontId="0" fillId="0" borderId="47" xfId="16" applyNumberFormat="1" applyBorder="1" applyAlignment="1">
      <alignment horizontal="center" vertical="center"/>
    </xf>
    <xf numFmtId="41" fontId="0" fillId="0" borderId="44" xfId="16" applyBorder="1" applyAlignment="1">
      <alignment horizontal="center" vertical="center"/>
    </xf>
    <xf numFmtId="41" fontId="9" fillId="0" borderId="4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0" fontId="2" fillId="0" borderId="10" xfId="16" applyNumberFormat="1" applyFont="1" applyBorder="1" applyAlignment="1">
      <alignment horizontal="center"/>
    </xf>
    <xf numFmtId="194" fontId="2" fillId="0" borderId="10" xfId="16" applyNumberFormat="1" applyFont="1" applyBorder="1" applyAlignment="1">
      <alignment/>
    </xf>
    <xf numFmtId="41" fontId="2" fillId="0" borderId="44" xfId="16" applyFont="1" applyBorder="1" applyAlignment="1">
      <alignment/>
    </xf>
    <xf numFmtId="41" fontId="1" fillId="0" borderId="44" xfId="16" applyFont="1" applyBorder="1" applyAlignment="1">
      <alignment/>
    </xf>
    <xf numFmtId="41" fontId="1" fillId="0" borderId="0" xfId="16" applyFont="1" applyBorder="1" applyAlignment="1">
      <alignment horizontal="left"/>
    </xf>
    <xf numFmtId="194" fontId="2" fillId="0" borderId="22" xfId="16" applyNumberFormat="1" applyFont="1" applyBorder="1" applyAlignment="1">
      <alignment/>
    </xf>
    <xf numFmtId="41" fontId="2" fillId="0" borderId="11" xfId="16" applyFont="1" applyBorder="1" applyAlignment="1">
      <alignment/>
    </xf>
    <xf numFmtId="43" fontId="2" fillId="0" borderId="10" xfId="16" applyNumberFormat="1" applyFont="1" applyBorder="1" applyAlignment="1">
      <alignment/>
    </xf>
    <xf numFmtId="41" fontId="2" fillId="0" borderId="32" xfId="16" applyFont="1" applyBorder="1" applyAlignment="1">
      <alignment horizontal="center"/>
    </xf>
    <xf numFmtId="41" fontId="2" fillId="0" borderId="17" xfId="16" applyFont="1" applyFill="1" applyBorder="1" applyAlignment="1">
      <alignment horizontal="center"/>
    </xf>
    <xf numFmtId="41" fontId="2" fillId="0" borderId="33" xfId="16" applyFont="1" applyBorder="1" applyAlignment="1">
      <alignment horizontal="center"/>
    </xf>
    <xf numFmtId="41" fontId="0" fillId="0" borderId="2" xfId="16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41" fontId="0" fillId="0" borderId="2" xfId="16" applyFont="1" applyBorder="1" applyAlignment="1">
      <alignment horizontal="center" vertical="center" wrapText="1"/>
    </xf>
    <xf numFmtId="43" fontId="0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8" fontId="2" fillId="0" borderId="20" xfId="16" applyNumberFormat="1" applyFont="1" applyBorder="1" applyAlignment="1">
      <alignment/>
    </xf>
    <xf numFmtId="198" fontId="2" fillId="0" borderId="1" xfId="16" applyNumberFormat="1" applyFont="1" applyBorder="1" applyAlignment="1">
      <alignment/>
    </xf>
    <xf numFmtId="198" fontId="2" fillId="0" borderId="10" xfId="16" applyNumberFormat="1" applyFont="1" applyBorder="1" applyAlignment="1">
      <alignment/>
    </xf>
    <xf numFmtId="198" fontId="2" fillId="0" borderId="2" xfId="16" applyNumberFormat="1" applyFont="1" applyBorder="1" applyAlignment="1">
      <alignment/>
    </xf>
    <xf numFmtId="194" fontId="2" fillId="0" borderId="19" xfId="16" applyNumberFormat="1" applyFont="1" applyBorder="1" applyAlignment="1">
      <alignment/>
    </xf>
    <xf numFmtId="198" fontId="2" fillId="0" borderId="19" xfId="16" applyNumberFormat="1" applyFont="1" applyBorder="1" applyAlignment="1">
      <alignment/>
    </xf>
    <xf numFmtId="41" fontId="2" fillId="0" borderId="49" xfId="16" applyFont="1" applyBorder="1" applyAlignment="1">
      <alignment/>
    </xf>
    <xf numFmtId="41" fontId="2" fillId="0" borderId="50" xfId="16" applyFont="1" applyBorder="1" applyAlignment="1">
      <alignment/>
    </xf>
    <xf numFmtId="194" fontId="2" fillId="0" borderId="51" xfId="16" applyNumberFormat="1" applyFont="1" applyBorder="1" applyAlignment="1">
      <alignment/>
    </xf>
    <xf numFmtId="194" fontId="2" fillId="0" borderId="33" xfId="16" applyNumberFormat="1" applyFont="1" applyBorder="1" applyAlignment="1">
      <alignment/>
    </xf>
    <xf numFmtId="208" fontId="2" fillId="0" borderId="19" xfId="16" applyNumberFormat="1" applyFont="1" applyBorder="1" applyAlignment="1">
      <alignment/>
    </xf>
    <xf numFmtId="208" fontId="2" fillId="0" borderId="22" xfId="16" applyNumberFormat="1" applyFont="1" applyBorder="1" applyAlignment="1">
      <alignment/>
    </xf>
    <xf numFmtId="208" fontId="2" fillId="0" borderId="2" xfId="16" applyNumberFormat="1" applyFont="1" applyBorder="1" applyAlignment="1">
      <alignment/>
    </xf>
    <xf numFmtId="208" fontId="2" fillId="0" borderId="14" xfId="16" applyNumberFormat="1" applyFont="1" applyBorder="1" applyAlignment="1">
      <alignment/>
    </xf>
    <xf numFmtId="212" fontId="2" fillId="0" borderId="19" xfId="16" applyNumberFormat="1" applyFont="1" applyBorder="1" applyAlignment="1">
      <alignment/>
    </xf>
    <xf numFmtId="41" fontId="2" fillId="0" borderId="52" xfId="16" applyNumberFormat="1" applyFont="1" applyBorder="1" applyAlignment="1">
      <alignment/>
    </xf>
    <xf numFmtId="194" fontId="2" fillId="0" borderId="16" xfId="16" applyNumberFormat="1" applyFont="1" applyBorder="1" applyAlignment="1">
      <alignment/>
    </xf>
    <xf numFmtId="41" fontId="2" fillId="0" borderId="48" xfId="16" applyFont="1" applyBorder="1" applyAlignment="1">
      <alignment/>
    </xf>
    <xf numFmtId="194" fontId="2" fillId="0" borderId="0" xfId="16" applyNumberFormat="1" applyFont="1" applyBorder="1" applyAlignment="1">
      <alignment/>
    </xf>
    <xf numFmtId="212" fontId="2" fillId="0" borderId="0" xfId="16" applyNumberFormat="1" applyFont="1" applyBorder="1" applyAlignment="1">
      <alignment/>
    </xf>
    <xf numFmtId="208" fontId="2" fillId="0" borderId="0" xfId="16" applyNumberFormat="1" applyFont="1" applyBorder="1" applyAlignment="1">
      <alignment/>
    </xf>
    <xf numFmtId="43" fontId="2" fillId="0" borderId="0" xfId="16" applyNumberFormat="1" applyFont="1" applyBorder="1" applyAlignment="1">
      <alignment/>
    </xf>
    <xf numFmtId="194" fontId="2" fillId="0" borderId="12" xfId="16" applyNumberFormat="1" applyFont="1" applyBorder="1" applyAlignment="1">
      <alignment/>
    </xf>
    <xf numFmtId="0" fontId="2" fillId="0" borderId="19" xfId="0" applyFont="1" applyBorder="1" applyAlignment="1">
      <alignment/>
    </xf>
    <xf numFmtId="41" fontId="2" fillId="0" borderId="40" xfId="16" applyFont="1" applyBorder="1" applyAlignment="1">
      <alignment/>
    </xf>
    <xf numFmtId="194" fontId="2" fillId="0" borderId="41" xfId="16" applyNumberFormat="1" applyFont="1" applyBorder="1" applyAlignment="1">
      <alignment/>
    </xf>
    <xf numFmtId="41" fontId="2" fillId="0" borderId="43" xfId="16" applyNumberFormat="1" applyFont="1" applyBorder="1" applyAlignment="1">
      <alignment/>
    </xf>
    <xf numFmtId="41" fontId="2" fillId="0" borderId="19" xfId="16" applyNumberFormat="1" applyFont="1" applyBorder="1" applyAlignment="1">
      <alignment/>
    </xf>
    <xf numFmtId="195" fontId="2" fillId="0" borderId="21" xfId="16" applyNumberFormat="1" applyFont="1" applyBorder="1" applyAlignment="1">
      <alignment/>
    </xf>
    <xf numFmtId="195" fontId="2" fillId="0" borderId="2" xfId="16" applyNumberFormat="1" applyFont="1" applyBorder="1" applyAlignment="1">
      <alignment/>
    </xf>
    <xf numFmtId="195" fontId="2" fillId="0" borderId="3" xfId="16" applyNumberFormat="1" applyFont="1" applyBorder="1" applyAlignment="1">
      <alignment/>
    </xf>
    <xf numFmtId="41" fontId="2" fillId="0" borderId="5" xfId="16" applyFont="1" applyBorder="1" applyAlignment="1">
      <alignment horizontal="center"/>
    </xf>
    <xf numFmtId="41" fontId="2" fillId="0" borderId="8" xfId="16" applyFont="1" applyBorder="1" applyAlignment="1">
      <alignment horizontal="center"/>
    </xf>
    <xf numFmtId="41" fontId="2" fillId="0" borderId="9" xfId="16" applyFont="1" applyBorder="1" applyAlignment="1">
      <alignment horizontal="center" vertical="top"/>
    </xf>
    <xf numFmtId="41" fontId="2" fillId="0" borderId="24" xfId="16" applyFont="1" applyBorder="1" applyAlignment="1">
      <alignment horizontal="center" vertical="top"/>
    </xf>
    <xf numFmtId="41" fontId="2" fillId="0" borderId="16" xfId="16" applyFont="1" applyBorder="1" applyAlignment="1">
      <alignment horizontal="center" vertical="top"/>
    </xf>
    <xf numFmtId="195" fontId="2" fillId="0" borderId="7" xfId="16" applyNumberFormat="1" applyFont="1" applyBorder="1" applyAlignment="1">
      <alignment/>
    </xf>
    <xf numFmtId="41" fontId="2" fillId="0" borderId="6" xfId="16" applyNumberFormat="1" applyFont="1" applyBorder="1" applyAlignment="1">
      <alignment/>
    </xf>
    <xf numFmtId="194" fontId="2" fillId="0" borderId="6" xfId="16" applyNumberFormat="1" applyFont="1" applyBorder="1" applyAlignment="1">
      <alignment/>
    </xf>
    <xf numFmtId="41" fontId="10" fillId="0" borderId="0" xfId="16" applyFont="1" applyBorder="1" applyAlignment="1">
      <alignment horizontal="center"/>
    </xf>
    <xf numFmtId="194" fontId="10" fillId="0" borderId="0" xfId="16" applyNumberFormat="1" applyFont="1" applyBorder="1" applyAlignment="1">
      <alignment/>
    </xf>
    <xf numFmtId="194" fontId="13" fillId="0" borderId="2" xfId="16" applyNumberFormat="1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94" fontId="0" fillId="0" borderId="3" xfId="16" applyNumberFormat="1" applyBorder="1" applyAlignment="1">
      <alignment horizontal="center" vertical="center" wrapText="1"/>
    </xf>
    <xf numFmtId="41" fontId="0" fillId="0" borderId="0" xfId="16" applyFill="1" applyBorder="1" applyAlignment="1">
      <alignment horizontal="center" vertical="center" wrapText="1"/>
    </xf>
    <xf numFmtId="194" fontId="0" fillId="0" borderId="42" xfId="16" applyNumberFormat="1" applyBorder="1" applyAlignment="1">
      <alignment horizontal="center" vertical="center" wrapText="1"/>
    </xf>
    <xf numFmtId="194" fontId="0" fillId="0" borderId="2" xfId="16" applyNumberFormat="1" applyBorder="1" applyAlignment="1">
      <alignment horizontal="center" vertical="center" wrapText="1"/>
    </xf>
    <xf numFmtId="194" fontId="0" fillId="0" borderId="22" xfId="16" applyNumberFormat="1" applyBorder="1" applyAlignment="1">
      <alignment horizontal="center" vertical="center" wrapText="1"/>
    </xf>
    <xf numFmtId="194" fontId="0" fillId="0" borderId="33" xfId="16" applyNumberFormat="1" applyBorder="1" applyAlignment="1">
      <alignment horizontal="center" vertical="center" wrapText="1"/>
    </xf>
    <xf numFmtId="41" fontId="0" fillId="0" borderId="0" xfId="16" applyBorder="1" applyAlignment="1">
      <alignment/>
    </xf>
    <xf numFmtId="194" fontId="0" fillId="0" borderId="16" xfId="0" applyNumberFormat="1" applyBorder="1" applyAlignment="1">
      <alignment horizontal="center" vertical="center" wrapText="1"/>
    </xf>
    <xf numFmtId="2" fontId="0" fillId="0" borderId="4" xfId="17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93" fontId="0" fillId="0" borderId="41" xfId="16" applyNumberFormat="1" applyBorder="1" applyAlignment="1">
      <alignment vertical="center" wrapText="1"/>
    </xf>
    <xf numFmtId="2" fontId="0" fillId="0" borderId="42" xfId="0" applyNumberForma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41" fontId="0" fillId="0" borderId="1" xfId="0" applyNumberFormat="1" applyBorder="1" applyAlignment="1">
      <alignment/>
    </xf>
    <xf numFmtId="0" fontId="0" fillId="0" borderId="0" xfId="0" applyAlignment="1">
      <alignment/>
    </xf>
    <xf numFmtId="41" fontId="0" fillId="0" borderId="42" xfId="0" applyNumberFormat="1" applyBorder="1" applyAlignment="1">
      <alignment horizontal="center"/>
    </xf>
    <xf numFmtId="41" fontId="0" fillId="0" borderId="0" xfId="16" applyFon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192" fontId="0" fillId="0" borderId="0" xfId="0" applyNumberFormat="1" applyBorder="1" applyAlignment="1">
      <alignment horizontal="center" vertical="center" wrapText="1"/>
    </xf>
    <xf numFmtId="198" fontId="0" fillId="0" borderId="0" xfId="16" applyNumberFormat="1" applyAlignment="1">
      <alignment/>
    </xf>
    <xf numFmtId="211" fontId="0" fillId="0" borderId="0" xfId="0" applyNumberFormat="1" applyAlignment="1">
      <alignment/>
    </xf>
    <xf numFmtId="0" fontId="3" fillId="0" borderId="0" xfId="0" applyFont="1" applyFill="1" applyAlignment="1">
      <alignment/>
    </xf>
    <xf numFmtId="186" fontId="0" fillId="0" borderId="11" xfId="16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left" vertical="center"/>
    </xf>
    <xf numFmtId="4" fontId="0" fillId="0" borderId="12" xfId="16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/>
    </xf>
    <xf numFmtId="10" fontId="2" fillId="2" borderId="10" xfId="16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4" fontId="1" fillId="0" borderId="16" xfId="16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10" fontId="0" fillId="2" borderId="22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10" fontId="0" fillId="2" borderId="22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0" fontId="2" fillId="2" borderId="39" xfId="16" applyNumberFormat="1" applyFont="1" applyFill="1" applyBorder="1" applyAlignment="1">
      <alignment horizontal="center"/>
    </xf>
    <xf numFmtId="2" fontId="2" fillId="2" borderId="12" xfId="16" applyNumberFormat="1" applyFont="1" applyFill="1" applyBorder="1" applyAlignment="1">
      <alignment horizontal="center"/>
    </xf>
    <xf numFmtId="10" fontId="2" fillId="2" borderId="22" xfId="16" applyNumberFormat="1" applyFont="1" applyFill="1" applyBorder="1" applyAlignment="1">
      <alignment horizontal="center"/>
    </xf>
    <xf numFmtId="10" fontId="0" fillId="2" borderId="48" xfId="0" applyNumberFormat="1" applyFill="1" applyBorder="1" applyAlignment="1">
      <alignment horizontal="center" vertical="center" wrapText="1"/>
    </xf>
    <xf numFmtId="194" fontId="0" fillId="0" borderId="34" xfId="16" applyNumberFormat="1" applyBorder="1" applyAlignment="1">
      <alignment vertical="center" wrapText="1"/>
    </xf>
    <xf numFmtId="194" fontId="0" fillId="0" borderId="33" xfId="16" applyNumberFormat="1" applyBorder="1" applyAlignment="1">
      <alignment vertical="center"/>
    </xf>
    <xf numFmtId="41" fontId="0" fillId="0" borderId="0" xfId="16" applyFont="1" applyFill="1" applyAlignment="1">
      <alignment/>
    </xf>
    <xf numFmtId="41" fontId="0" fillId="0" borderId="0" xfId="16" applyFill="1" applyAlignment="1">
      <alignment/>
    </xf>
    <xf numFmtId="194" fontId="0" fillId="0" borderId="37" xfId="16" applyNumberFormat="1" applyBorder="1" applyAlignment="1">
      <alignment vertical="center" wrapText="1"/>
    </xf>
    <xf numFmtId="194" fontId="0" fillId="0" borderId="51" xfId="16" applyNumberFormat="1" applyBorder="1" applyAlignment="1">
      <alignment vertical="center" wrapText="1"/>
    </xf>
    <xf numFmtId="189" fontId="0" fillId="0" borderId="40" xfId="0" applyNumberFormat="1" applyFill="1" applyBorder="1" applyAlignment="1">
      <alignment horizontal="center" vertical="center" wrapText="1"/>
    </xf>
    <xf numFmtId="189" fontId="0" fillId="0" borderId="2" xfId="0" applyNumberFormat="1" applyFill="1" applyBorder="1" applyAlignment="1">
      <alignment horizontal="center" vertical="center" wrapText="1"/>
    </xf>
    <xf numFmtId="189" fontId="0" fillId="0" borderId="4" xfId="0" applyNumberFormat="1" applyBorder="1" applyAlignment="1">
      <alignment horizontal="center" vertical="center"/>
    </xf>
    <xf numFmtId="189" fontId="0" fillId="0" borderId="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4" fontId="0" fillId="0" borderId="53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1" fontId="0" fillId="0" borderId="7" xfId="16" applyFont="1" applyBorder="1" applyAlignment="1">
      <alignment horizontal="center" vertical="center"/>
    </xf>
    <xf numFmtId="41" fontId="0" fillId="0" borderId="5" xfId="16" applyFont="1" applyBorder="1" applyAlignment="1">
      <alignment/>
    </xf>
    <xf numFmtId="41" fontId="0" fillId="0" borderId="20" xfId="16" applyFont="1" applyBorder="1" applyAlignment="1">
      <alignment horizontal="center"/>
    </xf>
    <xf numFmtId="41" fontId="0" fillId="0" borderId="8" xfId="16" applyFont="1" applyBorder="1" applyAlignment="1">
      <alignment horizontal="center"/>
    </xf>
    <xf numFmtId="41" fontId="0" fillId="0" borderId="10" xfId="16" applyFont="1" applyBorder="1" applyAlignment="1">
      <alignment horizontal="center"/>
    </xf>
    <xf numFmtId="41" fontId="0" fillId="0" borderId="9" xfId="16" applyFont="1" applyBorder="1" applyAlignment="1">
      <alignment/>
    </xf>
    <xf numFmtId="41" fontId="0" fillId="0" borderId="23" xfId="16" applyFont="1" applyBorder="1" applyAlignment="1">
      <alignment horizontal="center"/>
    </xf>
    <xf numFmtId="41" fontId="0" fillId="0" borderId="11" xfId="16" applyFont="1" applyBorder="1" applyAlignment="1">
      <alignment/>
    </xf>
    <xf numFmtId="41" fontId="0" fillId="0" borderId="2" xfId="16" applyFont="1" applyBorder="1" applyAlignment="1">
      <alignment horizontal="center" vertical="center"/>
    </xf>
    <xf numFmtId="41" fontId="0" fillId="0" borderId="21" xfId="16" applyBorder="1" applyAlignment="1">
      <alignment/>
    </xf>
    <xf numFmtId="41" fontId="0" fillId="0" borderId="22" xfId="16" applyBorder="1" applyAlignment="1">
      <alignment/>
    </xf>
    <xf numFmtId="41" fontId="0" fillId="0" borderId="24" xfId="16" applyBorder="1" applyAlignment="1">
      <alignment/>
    </xf>
    <xf numFmtId="41" fontId="2" fillId="0" borderId="22" xfId="16" applyFont="1" applyBorder="1" applyAlignment="1">
      <alignment/>
    </xf>
    <xf numFmtId="41" fontId="2" fillId="0" borderId="21" xfId="16" applyFont="1" applyBorder="1" applyAlignment="1">
      <alignment/>
    </xf>
    <xf numFmtId="41" fontId="2" fillId="0" borderId="24" xfId="16" applyFont="1" applyBorder="1" applyAlignment="1">
      <alignment/>
    </xf>
    <xf numFmtId="41" fontId="0" fillId="0" borderId="22" xfId="16" applyFont="1" applyBorder="1" applyAlignment="1">
      <alignment horizontal="center"/>
    </xf>
    <xf numFmtId="41" fontId="0" fillId="0" borderId="22" xfId="16" applyFont="1" applyBorder="1" applyAlignment="1">
      <alignment horizontal="center"/>
    </xf>
    <xf numFmtId="41" fontId="0" fillId="0" borderId="20" xfId="16" applyFont="1" applyBorder="1" applyAlignment="1">
      <alignment/>
    </xf>
    <xf numFmtId="194" fontId="0" fillId="0" borderId="21" xfId="16" applyNumberFormat="1" applyFont="1" applyBorder="1" applyAlignment="1">
      <alignment vertical="center"/>
    </xf>
    <xf numFmtId="194" fontId="0" fillId="0" borderId="2" xfId="16" applyNumberFormat="1" applyFont="1" applyBorder="1" applyAlignment="1">
      <alignment vertical="center"/>
    </xf>
    <xf numFmtId="194" fontId="0" fillId="0" borderId="22" xfId="16" applyNumberFormat="1" applyFont="1" applyBorder="1" applyAlignment="1">
      <alignment vertical="center"/>
    </xf>
    <xf numFmtId="194" fontId="0" fillId="0" borderId="3" xfId="16" applyNumberFormat="1" applyFont="1" applyBorder="1" applyAlignment="1">
      <alignment vertical="center"/>
    </xf>
    <xf numFmtId="41" fontId="0" fillId="0" borderId="28" xfId="16" applyBorder="1" applyAlignment="1">
      <alignment/>
    </xf>
    <xf numFmtId="41" fontId="0" fillId="0" borderId="29" xfId="16" applyFont="1" applyBorder="1" applyAlignment="1">
      <alignment horizontal="center"/>
    </xf>
    <xf numFmtId="41" fontId="0" fillId="0" borderId="55" xfId="16" applyBorder="1" applyAlignment="1">
      <alignment/>
    </xf>
    <xf numFmtId="194" fontId="2" fillId="0" borderId="7" xfId="16" applyNumberFormat="1" applyFont="1" applyBorder="1" applyAlignment="1">
      <alignment/>
    </xf>
    <xf numFmtId="193" fontId="2" fillId="0" borderId="6" xfId="16" applyNumberFormat="1" applyFon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0" fontId="0" fillId="2" borderId="22" xfId="17" applyNumberFormat="1" applyFill="1" applyBorder="1" applyAlignment="1">
      <alignment horizontal="center"/>
    </xf>
    <xf numFmtId="194" fontId="0" fillId="2" borderId="22" xfId="16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1" fontId="2" fillId="0" borderId="21" xfId="16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1" fontId="1" fillId="0" borderId="0" xfId="16" applyFont="1" applyBorder="1" applyAlignment="1">
      <alignment horizontal="center"/>
    </xf>
    <xf numFmtId="41" fontId="4" fillId="0" borderId="25" xfId="16" applyFont="1" applyFill="1" applyBorder="1" applyAlignment="1">
      <alignment horizontal="center"/>
    </xf>
    <xf numFmtId="41" fontId="4" fillId="0" borderId="39" xfId="16" applyFont="1" applyFill="1" applyBorder="1" applyAlignment="1">
      <alignment horizontal="center"/>
    </xf>
    <xf numFmtId="41" fontId="0" fillId="0" borderId="0" xfId="16" applyFont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4" fontId="0" fillId="0" borderId="57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4" fontId="0" fillId="0" borderId="44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56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1" fontId="4" fillId="0" borderId="26" xfId="16" applyFont="1" applyFill="1" applyBorder="1" applyAlignment="1">
      <alignment horizontal="center"/>
    </xf>
    <xf numFmtId="41" fontId="0" fillId="0" borderId="0" xfId="16" applyAlignment="1">
      <alignment horizontal="center"/>
    </xf>
    <xf numFmtId="41" fontId="4" fillId="0" borderId="44" xfId="16" applyFont="1" applyFill="1" applyBorder="1" applyAlignment="1">
      <alignment horizontal="center"/>
    </xf>
    <xf numFmtId="41" fontId="4" fillId="0" borderId="0" xfId="16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19200" y="0"/>
          <a:ext cx="7562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19200" y="1009650"/>
          <a:ext cx="8696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19200" y="161925"/>
          <a:ext cx="8696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3875" y="723900"/>
          <a:ext cx="6305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0550" y="495300"/>
          <a:ext cx="65055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1114425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775"/>
          <a:ext cx="6877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0150" y="495300"/>
          <a:ext cx="5181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0150" y="495300"/>
          <a:ext cx="5181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03727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103727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19050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85825"/>
          <a:ext cx="11315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19050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67275"/>
          <a:ext cx="11315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57175" y="742950"/>
          <a:ext cx="104298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95821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19050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09675"/>
          <a:ext cx="84391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workbookViewId="0" topLeftCell="A15">
      <selection activeCell="D29" sqref="D29"/>
    </sheetView>
  </sheetViews>
  <sheetFormatPr defaultColWidth="9.140625" defaultRowHeight="12.75"/>
  <cols>
    <col min="1" max="2" width="9.140625" style="1" customWidth="1"/>
    <col min="3" max="3" width="8.7109375" style="1" bestFit="1" customWidth="1"/>
    <col min="4" max="4" width="52.57421875" style="5" customWidth="1"/>
    <col min="5" max="5" width="22.140625" style="1" customWidth="1"/>
    <col min="6" max="6" width="15.57421875" style="1" customWidth="1"/>
    <col min="7" max="7" width="14.421875" style="1" customWidth="1"/>
    <col min="8" max="8" width="17.00390625" style="1" customWidth="1"/>
    <col min="9" max="9" width="2.00390625" style="1" customWidth="1"/>
    <col min="10" max="10" width="12.7109375" style="1" bestFit="1" customWidth="1"/>
    <col min="11" max="11" width="15.28125" style="98" bestFit="1" customWidth="1"/>
    <col min="12" max="12" width="9.140625" style="1" customWidth="1"/>
    <col min="13" max="13" width="12.7109375" style="1" bestFit="1" customWidth="1"/>
    <col min="14" max="14" width="10.28125" style="1" bestFit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spans="4:11" s="2" customFormat="1" ht="12.75" hidden="1">
      <c r="D1" s="3"/>
      <c r="K1" s="97"/>
    </row>
    <row r="2" spans="4:11" s="2" customFormat="1" ht="12.75" hidden="1">
      <c r="D2" s="3"/>
      <c r="K2" s="97"/>
    </row>
    <row r="3" spans="4:11" s="2" customFormat="1" ht="12.75">
      <c r="D3" s="3"/>
      <c r="K3" s="97"/>
    </row>
    <row r="4" spans="1:11" s="2" customFormat="1" ht="27">
      <c r="A4" s="90"/>
      <c r="C4" s="357" t="s">
        <v>38</v>
      </c>
      <c r="D4" s="357"/>
      <c r="E4" s="357"/>
      <c r="F4" s="357"/>
      <c r="G4" s="357"/>
      <c r="H4" s="357"/>
      <c r="K4" s="97"/>
    </row>
    <row r="5" spans="4:11" s="2" customFormat="1" ht="12.75">
      <c r="D5" s="3"/>
      <c r="K5" s="97"/>
    </row>
    <row r="6" spans="3:11" s="2" customFormat="1" ht="27">
      <c r="C6" s="358" t="s">
        <v>0</v>
      </c>
      <c r="D6" s="359"/>
      <c r="E6" s="359"/>
      <c r="F6" s="359"/>
      <c r="G6" s="359"/>
      <c r="H6" s="360"/>
      <c r="K6" s="97"/>
    </row>
    <row r="7" spans="3:8" ht="14.25" customHeight="1" hidden="1">
      <c r="C7" s="8"/>
      <c r="D7" s="8"/>
      <c r="E7" s="8"/>
      <c r="F7" s="8"/>
      <c r="G7" s="8"/>
      <c r="H7" s="8"/>
    </row>
    <row r="8" spans="3:8" ht="14.25" customHeight="1" hidden="1">
      <c r="C8" s="8"/>
      <c r="D8" s="8"/>
      <c r="E8" s="8"/>
      <c r="F8" s="8"/>
      <c r="G8" s="8"/>
      <c r="H8" s="8"/>
    </row>
    <row r="9" ht="13.5" thickBot="1"/>
    <row r="10" spans="3:11" s="4" customFormat="1" ht="45.75" thickBot="1">
      <c r="C10" s="40" t="s">
        <v>2</v>
      </c>
      <c r="D10" s="41" t="s">
        <v>3</v>
      </c>
      <c r="E10" s="41" t="s">
        <v>1</v>
      </c>
      <c r="F10" s="41" t="s">
        <v>6</v>
      </c>
      <c r="G10" s="41" t="s">
        <v>4</v>
      </c>
      <c r="H10" s="42" t="s">
        <v>5</v>
      </c>
      <c r="K10" s="99"/>
    </row>
    <row r="11" spans="3:8" ht="7.5" customHeight="1" thickBot="1">
      <c r="C11" s="6"/>
      <c r="D11" s="6"/>
      <c r="E11" s="6"/>
      <c r="F11" s="6"/>
      <c r="G11" s="6"/>
      <c r="H11" s="7"/>
    </row>
    <row r="12" spans="3:8" ht="17.25" customHeight="1" thickBot="1">
      <c r="C12" s="287">
        <v>2006</v>
      </c>
      <c r="D12" s="289" t="s">
        <v>141</v>
      </c>
      <c r="E12" s="288" t="s">
        <v>142</v>
      </c>
      <c r="F12" s="288" t="s">
        <v>49</v>
      </c>
      <c r="G12" s="290">
        <f>'Tabella a'!I45</f>
        <v>296575.452</v>
      </c>
      <c r="H12" s="291">
        <f>G12</f>
        <v>296575.452</v>
      </c>
    </row>
    <row r="13" spans="3:8" ht="18" customHeight="1" thickBot="1">
      <c r="C13" s="16">
        <v>2007</v>
      </c>
      <c r="D13" s="294" t="s">
        <v>141</v>
      </c>
      <c r="E13" s="18" t="s">
        <v>144</v>
      </c>
      <c r="F13" s="18" t="s">
        <v>50</v>
      </c>
      <c r="G13" s="81">
        <f>'Tabella b'!I45</f>
        <v>411910.35</v>
      </c>
      <c r="H13" s="85">
        <f>G13</f>
        <v>411910.35</v>
      </c>
    </row>
    <row r="14" spans="3:8" ht="18" customHeight="1">
      <c r="C14" s="78"/>
      <c r="D14" s="17" t="s">
        <v>143</v>
      </c>
      <c r="E14" s="18" t="s">
        <v>145</v>
      </c>
      <c r="F14" s="18" t="s">
        <v>51</v>
      </c>
      <c r="G14" s="81">
        <f>'Tabella c'!S32</f>
        <v>1715.7266666666667</v>
      </c>
      <c r="H14" s="88"/>
    </row>
    <row r="15" spans="3:8" ht="18" customHeight="1">
      <c r="C15" s="21"/>
      <c r="D15" s="151" t="s">
        <v>148</v>
      </c>
      <c r="E15" s="13" t="s">
        <v>145</v>
      </c>
      <c r="F15" s="14" t="s">
        <v>52</v>
      </c>
      <c r="G15" s="82">
        <f>'Tabella d'!S32</f>
        <v>187.51111111111112</v>
      </c>
      <c r="H15" s="87"/>
    </row>
    <row r="16" spans="3:8" ht="18" customHeight="1">
      <c r="C16" s="19"/>
      <c r="D16" s="12" t="s">
        <v>149</v>
      </c>
      <c r="E16" s="13" t="s">
        <v>145</v>
      </c>
      <c r="F16" s="14" t="s">
        <v>53</v>
      </c>
      <c r="G16" s="82">
        <f>'Tabella e'!H13</f>
        <v>832.5493333333336</v>
      </c>
      <c r="H16" s="87"/>
    </row>
    <row r="17" spans="3:8" ht="18" customHeight="1">
      <c r="C17" s="145"/>
      <c r="D17" s="151" t="s">
        <v>150</v>
      </c>
      <c r="E17" s="13" t="s">
        <v>145</v>
      </c>
      <c r="F17" s="14" t="s">
        <v>53</v>
      </c>
      <c r="G17" s="82">
        <f>'Tabella e'!H29</f>
        <v>1462.5866666666668</v>
      </c>
      <c r="H17" s="87"/>
    </row>
    <row r="18" spans="3:8" ht="18" customHeight="1">
      <c r="C18" s="21">
        <v>2008</v>
      </c>
      <c r="D18" s="151" t="s">
        <v>76</v>
      </c>
      <c r="E18" s="13" t="s">
        <v>145</v>
      </c>
      <c r="F18" s="14" t="s">
        <v>54</v>
      </c>
      <c r="G18" s="82">
        <f>'Tabella f'!J17</f>
        <v>36220.8962962963</v>
      </c>
      <c r="H18" s="87"/>
    </row>
    <row r="19" spans="3:8" ht="18" customHeight="1">
      <c r="C19" s="19"/>
      <c r="D19" s="12" t="s">
        <v>151</v>
      </c>
      <c r="E19" s="13" t="s">
        <v>145</v>
      </c>
      <c r="F19" s="14" t="s">
        <v>55</v>
      </c>
      <c r="G19" s="82">
        <f>'Tabella g'!R43</f>
        <v>21107.2</v>
      </c>
      <c r="H19" s="87"/>
    </row>
    <row r="20" spans="3:8" ht="18" customHeight="1">
      <c r="C20" s="21"/>
      <c r="D20" s="12" t="s">
        <v>37</v>
      </c>
      <c r="E20" s="13" t="s">
        <v>145</v>
      </c>
      <c r="F20" s="14" t="s">
        <v>62</v>
      </c>
      <c r="G20" s="82">
        <f>'Tabella h'!F15</f>
        <v>34578.1</v>
      </c>
      <c r="H20" s="87"/>
    </row>
    <row r="21" spans="3:8" ht="18" customHeight="1">
      <c r="C21" s="21"/>
      <c r="D21" s="151" t="s">
        <v>75</v>
      </c>
      <c r="E21" s="13" t="s">
        <v>145</v>
      </c>
      <c r="F21" s="14" t="s">
        <v>74</v>
      </c>
      <c r="G21" s="82">
        <f>'Tabella i'!M25</f>
        <v>5785.65484</v>
      </c>
      <c r="H21" s="87"/>
    </row>
    <row r="22" spans="3:11" ht="18" customHeight="1">
      <c r="C22" s="20"/>
      <c r="D22" s="296" t="s">
        <v>152</v>
      </c>
      <c r="E22" s="13" t="s">
        <v>145</v>
      </c>
      <c r="F22" s="318" t="s">
        <v>73</v>
      </c>
      <c r="G22" s="319">
        <f>'Tabella l'!K100</f>
        <v>360976.61688745185</v>
      </c>
      <c r="H22" s="100"/>
      <c r="I22" s="101"/>
      <c r="K22" s="102"/>
    </row>
    <row r="23" spans="3:14" ht="18" customHeight="1" thickBot="1">
      <c r="C23" s="22"/>
      <c r="D23" s="296" t="s">
        <v>161</v>
      </c>
      <c r="E23" s="13" t="s">
        <v>145</v>
      </c>
      <c r="F23" s="15" t="s">
        <v>157</v>
      </c>
      <c r="G23" s="83">
        <f>'Tabella m'!F13</f>
        <v>14988.888888888889</v>
      </c>
      <c r="H23" s="84">
        <f>SUM(G14:G23)</f>
        <v>477855.7306904148</v>
      </c>
      <c r="M23" s="103"/>
      <c r="N23" s="102"/>
    </row>
    <row r="24" spans="3:9" ht="18" customHeight="1">
      <c r="C24" s="79"/>
      <c r="D24" s="17" t="s">
        <v>143</v>
      </c>
      <c r="E24" s="18" t="s">
        <v>146</v>
      </c>
      <c r="F24" s="18" t="s">
        <v>51</v>
      </c>
      <c r="G24" s="81">
        <f>'Tabella c'!S33</f>
        <v>1715.7266666666667</v>
      </c>
      <c r="H24" s="85"/>
      <c r="I24" s="98"/>
    </row>
    <row r="25" spans="3:8" ht="18" customHeight="1">
      <c r="C25" s="20"/>
      <c r="D25" s="151" t="s">
        <v>148</v>
      </c>
      <c r="E25" s="13" t="s">
        <v>146</v>
      </c>
      <c r="F25" s="14" t="s">
        <v>52</v>
      </c>
      <c r="G25" s="82">
        <f>'Tabella d'!S33</f>
        <v>187.51111111111112</v>
      </c>
      <c r="H25" s="86"/>
    </row>
    <row r="26" spans="3:8" ht="18" customHeight="1">
      <c r="C26" s="20"/>
      <c r="D26" s="12" t="s">
        <v>149</v>
      </c>
      <c r="E26" s="13" t="s">
        <v>146</v>
      </c>
      <c r="F26" s="14" t="s">
        <v>53</v>
      </c>
      <c r="G26" s="82">
        <f>'Tabella e'!H14</f>
        <v>832.5493333333336</v>
      </c>
      <c r="H26" s="86"/>
    </row>
    <row r="27" spans="3:8" ht="18" customHeight="1">
      <c r="C27" s="44"/>
      <c r="D27" s="12" t="s">
        <v>150</v>
      </c>
      <c r="E27" s="13" t="s">
        <v>146</v>
      </c>
      <c r="F27" s="14" t="s">
        <v>53</v>
      </c>
      <c r="G27" s="82">
        <f>'Tabella e'!H30</f>
        <v>1462.5866666666668</v>
      </c>
      <c r="H27" s="86"/>
    </row>
    <row r="28" spans="3:15" ht="18" customHeight="1">
      <c r="C28" s="19">
        <v>2009</v>
      </c>
      <c r="D28" s="151" t="s">
        <v>76</v>
      </c>
      <c r="E28" s="13" t="s">
        <v>146</v>
      </c>
      <c r="F28" s="14" t="s">
        <v>54</v>
      </c>
      <c r="G28" s="82">
        <f>'Tabella f'!J17</f>
        <v>36220.8962962963</v>
      </c>
      <c r="H28" s="86"/>
      <c r="O28" s="2"/>
    </row>
    <row r="29" spans="3:15" ht="18" customHeight="1">
      <c r="C29" s="19"/>
      <c r="D29" s="12" t="s">
        <v>151</v>
      </c>
      <c r="E29" s="13" t="s">
        <v>146</v>
      </c>
      <c r="F29" s="14" t="s">
        <v>55</v>
      </c>
      <c r="G29" s="82">
        <f>'Tabella g'!R44</f>
        <v>21107.2</v>
      </c>
      <c r="H29" s="86"/>
      <c r="O29" s="2"/>
    </row>
    <row r="30" spans="3:15" ht="18" customHeight="1">
      <c r="C30" s="44"/>
      <c r="D30" s="12" t="s">
        <v>37</v>
      </c>
      <c r="E30" s="13" t="s">
        <v>146</v>
      </c>
      <c r="F30" s="14" t="s">
        <v>62</v>
      </c>
      <c r="G30" s="82">
        <f>'Tabella h'!F16</f>
        <v>34578.1</v>
      </c>
      <c r="H30" s="86"/>
      <c r="O30" s="2"/>
    </row>
    <row r="31" spans="3:8" ht="18" customHeight="1">
      <c r="C31" s="20"/>
      <c r="D31" s="151" t="s">
        <v>75</v>
      </c>
      <c r="E31" s="13" t="s">
        <v>146</v>
      </c>
      <c r="F31" s="14" t="s">
        <v>74</v>
      </c>
      <c r="G31" s="82">
        <f>'Tabella i'!M25</f>
        <v>5785.65484</v>
      </c>
      <c r="H31" s="86"/>
    </row>
    <row r="32" spans="3:11" ht="18" customHeight="1">
      <c r="C32" s="20"/>
      <c r="D32" s="296" t="s">
        <v>152</v>
      </c>
      <c r="E32" s="13" t="s">
        <v>146</v>
      </c>
      <c r="F32" s="318" t="s">
        <v>73</v>
      </c>
      <c r="G32" s="319">
        <f>'Tabella l'!K100</f>
        <v>360976.61688745185</v>
      </c>
      <c r="H32" s="100"/>
      <c r="I32" s="101"/>
      <c r="K32" s="102"/>
    </row>
    <row r="33" spans="3:14" ht="18" customHeight="1" thickBot="1">
      <c r="C33" s="22"/>
      <c r="D33" s="296" t="s">
        <v>161</v>
      </c>
      <c r="E33" s="13" t="s">
        <v>146</v>
      </c>
      <c r="F33" s="15" t="s">
        <v>157</v>
      </c>
      <c r="G33" s="83">
        <f>'Tabella m'!F14</f>
        <v>14988.888888888889</v>
      </c>
      <c r="H33" s="84">
        <f>SUM(G24:G33)</f>
        <v>477855.7306904148</v>
      </c>
      <c r="M33" s="103"/>
      <c r="N33" s="102"/>
    </row>
    <row r="34" spans="3:8" ht="18" customHeight="1">
      <c r="C34" s="79"/>
      <c r="D34" s="17" t="s">
        <v>143</v>
      </c>
      <c r="E34" s="18" t="s">
        <v>147</v>
      </c>
      <c r="F34" s="18" t="s">
        <v>51</v>
      </c>
      <c r="G34" s="180">
        <f>'Tabella c'!S34</f>
        <v>1715.7266666666667</v>
      </c>
      <c r="H34" s="182"/>
    </row>
    <row r="35" spans="3:13" ht="18" customHeight="1">
      <c r="C35" s="20"/>
      <c r="D35" s="151" t="s">
        <v>148</v>
      </c>
      <c r="E35" s="13" t="s">
        <v>147</v>
      </c>
      <c r="F35" s="14" t="s">
        <v>52</v>
      </c>
      <c r="G35" s="181">
        <f>'Tabella d'!S34</f>
        <v>187.51111111111112</v>
      </c>
      <c r="H35" s="183"/>
      <c r="J35" s="103"/>
      <c r="K35" s="102"/>
      <c r="M35" s="126"/>
    </row>
    <row r="36" spans="3:8" ht="18" customHeight="1">
      <c r="C36" s="20"/>
      <c r="D36" s="12" t="s">
        <v>149</v>
      </c>
      <c r="E36" s="13" t="s">
        <v>147</v>
      </c>
      <c r="F36" s="14" t="s">
        <v>53</v>
      </c>
      <c r="G36" s="181">
        <f>'Tabella e'!H15</f>
        <v>832.5493333333336</v>
      </c>
      <c r="H36" s="183"/>
    </row>
    <row r="37" spans="3:10" ht="18" customHeight="1">
      <c r="C37" s="44"/>
      <c r="D37" s="12" t="s">
        <v>150</v>
      </c>
      <c r="E37" s="13" t="s">
        <v>147</v>
      </c>
      <c r="F37" s="14" t="s">
        <v>53</v>
      </c>
      <c r="G37" s="181">
        <f>'Tabella e'!H31</f>
        <v>1462.5866666666668</v>
      </c>
      <c r="H37" s="183"/>
      <c r="J37" s="98"/>
    </row>
    <row r="38" spans="3:10" ht="18" customHeight="1">
      <c r="C38" s="19">
        <v>2010</v>
      </c>
      <c r="D38" s="151" t="s">
        <v>76</v>
      </c>
      <c r="E38" s="13" t="s">
        <v>147</v>
      </c>
      <c r="F38" s="14" t="s">
        <v>54</v>
      </c>
      <c r="G38" s="181">
        <f>'Tabella f'!J17</f>
        <v>36220.8962962963</v>
      </c>
      <c r="H38" s="183"/>
      <c r="I38" s="98"/>
      <c r="J38" s="98"/>
    </row>
    <row r="39" spans="3:11" ht="18" customHeight="1">
      <c r="C39" s="19"/>
      <c r="D39" s="12" t="s">
        <v>151</v>
      </c>
      <c r="E39" s="13" t="s">
        <v>147</v>
      </c>
      <c r="F39" s="14" t="s">
        <v>55</v>
      </c>
      <c r="G39" s="181">
        <f>'Tabella g'!R45</f>
        <v>21107.2</v>
      </c>
      <c r="H39" s="183"/>
      <c r="I39" s="98"/>
      <c r="K39" s="1"/>
    </row>
    <row r="40" spans="3:8" ht="18" customHeight="1">
      <c r="C40" s="44"/>
      <c r="D40" s="12" t="s">
        <v>37</v>
      </c>
      <c r="E40" s="13" t="s">
        <v>147</v>
      </c>
      <c r="F40" s="14" t="s">
        <v>62</v>
      </c>
      <c r="G40" s="181">
        <f>'Tabella h'!F17</f>
        <v>34578.1</v>
      </c>
      <c r="H40" s="183"/>
    </row>
    <row r="41" spans="3:8" ht="18" customHeight="1">
      <c r="C41" s="20"/>
      <c r="D41" s="151" t="s">
        <v>75</v>
      </c>
      <c r="E41" s="13" t="s">
        <v>147</v>
      </c>
      <c r="F41" s="14" t="s">
        <v>74</v>
      </c>
      <c r="G41" s="181">
        <f>'Tabella i'!M25</f>
        <v>5785.65484</v>
      </c>
      <c r="H41" s="183"/>
    </row>
    <row r="42" spans="3:8" ht="18" customHeight="1">
      <c r="C42" s="20"/>
      <c r="D42" s="321" t="s">
        <v>152</v>
      </c>
      <c r="E42" s="320" t="s">
        <v>147</v>
      </c>
      <c r="F42" s="318" t="s">
        <v>73</v>
      </c>
      <c r="G42" s="322">
        <f>'Tabella l'!K100</f>
        <v>360976.61688745185</v>
      </c>
      <c r="H42" s="184"/>
    </row>
    <row r="43" spans="3:9" ht="18" customHeight="1" thickBot="1">
      <c r="C43" s="22"/>
      <c r="D43" s="297" t="s">
        <v>161</v>
      </c>
      <c r="E43" s="15" t="s">
        <v>147</v>
      </c>
      <c r="F43" s="15" t="s">
        <v>157</v>
      </c>
      <c r="G43" s="323">
        <f>'Tabella m'!F15</f>
        <v>14988.888888888889</v>
      </c>
      <c r="H43" s="185">
        <f>SUM(G34:G43)</f>
        <v>477855.7306904148</v>
      </c>
      <c r="I43" s="97"/>
    </row>
    <row r="44" ht="13.5" thickBot="1"/>
    <row r="45" spans="7:8" ht="18.75" thickBot="1">
      <c r="G45" s="73" t="s">
        <v>64</v>
      </c>
      <c r="H45" s="96">
        <f>SUM(H12:H43)</f>
        <v>2142052.9940712443</v>
      </c>
    </row>
  </sheetData>
  <mergeCells count="2">
    <mergeCell ref="C4:H4"/>
    <mergeCell ref="C6:H6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300" verticalDpi="3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zoomScale="80" zoomScaleNormal="80" workbookViewId="0" topLeftCell="A1">
      <selection activeCell="A8" sqref="A8:IV8"/>
    </sheetView>
  </sheetViews>
  <sheetFormatPr defaultColWidth="9.140625" defaultRowHeight="12.75"/>
  <cols>
    <col min="1" max="1" width="7.8515625" style="0" customWidth="1"/>
    <col min="2" max="2" width="26.8515625" style="0" customWidth="1"/>
    <col min="3" max="3" width="15.57421875" style="0" customWidth="1"/>
    <col min="4" max="5" width="17.7109375" style="0" customWidth="1"/>
    <col min="6" max="6" width="12.7109375" style="0" hidden="1" customWidth="1"/>
    <col min="7" max="7" width="18.7109375" style="0" hidden="1" customWidth="1"/>
    <col min="8" max="8" width="12.57421875" style="0" hidden="1" customWidth="1"/>
    <col min="9" max="9" width="15.57421875" style="0" hidden="1" customWidth="1"/>
    <col min="10" max="10" width="9.8515625" style="0" hidden="1" customWidth="1"/>
    <col min="11" max="13" width="16.7109375" style="0" customWidth="1"/>
    <col min="14" max="14" width="17.57421875" style="0" customWidth="1"/>
    <col min="15" max="15" width="11.8515625" style="0" hidden="1" customWidth="1"/>
    <col min="16" max="16" width="12.00390625" style="0" customWidth="1"/>
    <col min="17" max="17" width="8.28125" style="0" hidden="1" customWidth="1"/>
    <col min="18" max="18" width="17.57421875" style="0" customWidth="1"/>
    <col min="19" max="19" width="15.421875" style="0" hidden="1" customWidth="1"/>
  </cols>
  <sheetData>
    <row r="2" ht="18">
      <c r="B2" s="43" t="s">
        <v>74</v>
      </c>
    </row>
    <row r="4" ht="13.5" thickBot="1"/>
    <row r="5" spans="2:19" ht="24" thickBot="1">
      <c r="B5" s="407" t="s">
        <v>72</v>
      </c>
      <c r="C5" s="407"/>
      <c r="D5" s="407"/>
      <c r="E5" s="407"/>
      <c r="F5" s="407"/>
      <c r="G5" s="407"/>
      <c r="H5" s="407"/>
      <c r="I5" s="407"/>
      <c r="J5" s="407"/>
      <c r="K5" s="407"/>
      <c r="L5" s="186"/>
      <c r="M5" s="186"/>
      <c r="N5" s="186"/>
      <c r="O5" s="186"/>
      <c r="P5" s="186"/>
      <c r="Q5" s="186"/>
      <c r="R5" s="186"/>
      <c r="S5" s="75"/>
    </row>
    <row r="6" spans="1:19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8" spans="2:19" ht="18">
      <c r="B8" s="386" t="s">
        <v>81</v>
      </c>
      <c r="C8" s="386"/>
      <c r="D8" s="386"/>
      <c r="E8" s="386"/>
      <c r="F8" s="386"/>
      <c r="G8" s="386"/>
      <c r="H8" s="386"/>
      <c r="I8" s="386"/>
      <c r="J8" s="386"/>
      <c r="K8" s="386"/>
      <c r="L8" s="89"/>
      <c r="M8" s="89"/>
      <c r="N8" s="89"/>
      <c r="O8" s="89"/>
      <c r="P8" s="89"/>
      <c r="Q8" s="89"/>
      <c r="R8" s="89"/>
      <c r="S8" s="89"/>
    </row>
    <row r="9" spans="2:19" ht="18">
      <c r="B9" s="386" t="s">
        <v>82</v>
      </c>
      <c r="C9" s="386"/>
      <c r="D9" s="386"/>
      <c r="E9" s="386"/>
      <c r="F9" s="386"/>
      <c r="G9" s="386"/>
      <c r="H9" s="386"/>
      <c r="I9" s="386"/>
      <c r="J9" s="386"/>
      <c r="K9" s="386"/>
      <c r="L9" s="89"/>
      <c r="M9" s="89"/>
      <c r="N9" s="89"/>
      <c r="O9" s="89"/>
      <c r="P9" s="89"/>
      <c r="Q9" s="89"/>
      <c r="R9" s="89"/>
      <c r="S9" s="89"/>
    </row>
    <row r="10" spans="2:11" ht="18">
      <c r="B10" s="386" t="s">
        <v>83</v>
      </c>
      <c r="C10" s="386"/>
      <c r="D10" s="386"/>
      <c r="E10" s="386"/>
      <c r="F10" s="386"/>
      <c r="G10" s="386"/>
      <c r="H10" s="386"/>
      <c r="I10" s="386"/>
      <c r="J10" s="386"/>
      <c r="K10" s="386"/>
    </row>
    <row r="11" spans="2:11" ht="18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3" spans="1:18" ht="39.75" customHeight="1" thickBot="1">
      <c r="A13" s="152"/>
      <c r="B13" s="396" t="s">
        <v>139</v>
      </c>
      <c r="C13" s="411"/>
      <c r="D13" s="397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42" customHeight="1" thickBot="1">
      <c r="A14" s="152"/>
      <c r="B14" s="160" t="s">
        <v>77</v>
      </c>
      <c r="C14" s="31" t="s">
        <v>78</v>
      </c>
      <c r="D14" s="161" t="s">
        <v>137</v>
      </c>
      <c r="E14" s="164"/>
      <c r="F14" s="152"/>
      <c r="G14" s="153"/>
      <c r="H14" s="152"/>
      <c r="I14" s="153"/>
      <c r="J14" s="152"/>
      <c r="K14" s="153"/>
      <c r="L14" s="153"/>
      <c r="M14" s="153"/>
      <c r="N14" s="153"/>
      <c r="O14" s="152"/>
      <c r="P14" s="153"/>
      <c r="Q14" s="152"/>
      <c r="R14" s="154"/>
    </row>
    <row r="15" spans="1:18" ht="31.5" customHeight="1">
      <c r="A15" s="152"/>
      <c r="B15" s="27">
        <v>11</v>
      </c>
      <c r="C15" s="27">
        <v>2</v>
      </c>
      <c r="D15" s="259">
        <f>E28/2*2*11</f>
        <v>784.9996000000001</v>
      </c>
      <c r="E15" s="110"/>
      <c r="F15" s="152"/>
      <c r="G15" s="153"/>
      <c r="H15" s="152"/>
      <c r="I15" s="153"/>
      <c r="J15" s="152"/>
      <c r="K15" s="283"/>
      <c r="L15" s="153"/>
      <c r="M15" s="153"/>
      <c r="N15" s="260"/>
      <c r="O15" s="152"/>
      <c r="P15" s="153"/>
      <c r="Q15" s="152"/>
      <c r="R15" s="154"/>
    </row>
    <row r="16" spans="1:18" ht="31.5" customHeight="1">
      <c r="A16" s="152"/>
      <c r="B16" s="135">
        <v>38</v>
      </c>
      <c r="C16" s="135">
        <v>2</v>
      </c>
      <c r="D16" s="261">
        <f>E29/2*2*38</f>
        <v>2991.9984</v>
      </c>
      <c r="E16" s="285"/>
      <c r="F16" s="152"/>
      <c r="G16" s="153"/>
      <c r="H16" s="152"/>
      <c r="I16" s="153"/>
      <c r="J16" s="152"/>
      <c r="K16" s="282"/>
      <c r="L16" s="153"/>
      <c r="M16" s="153"/>
      <c r="N16" s="260"/>
      <c r="O16" s="152"/>
      <c r="P16" s="153"/>
      <c r="Q16" s="152"/>
      <c r="R16" s="154"/>
    </row>
    <row r="17" spans="1:18" ht="31.5" customHeight="1">
      <c r="A17" s="152"/>
      <c r="B17" s="24">
        <v>7</v>
      </c>
      <c r="C17" s="24">
        <v>2</v>
      </c>
      <c r="D17" s="262">
        <f>E30/2*2*7</f>
        <v>598.9997999999999</v>
      </c>
      <c r="E17" s="285"/>
      <c r="F17" s="152"/>
      <c r="G17" s="153"/>
      <c r="H17" s="152"/>
      <c r="I17" s="153"/>
      <c r="J17" s="152"/>
      <c r="K17" s="282"/>
      <c r="L17" s="153"/>
      <c r="M17" s="153"/>
      <c r="N17" s="260"/>
      <c r="O17" s="152"/>
      <c r="P17" s="153"/>
      <c r="Q17" s="152"/>
      <c r="R17" s="154"/>
    </row>
    <row r="18" spans="1:19" ht="31.5" customHeight="1" thickBot="1">
      <c r="A18" s="152"/>
      <c r="B18" s="152"/>
      <c r="C18" s="152"/>
      <c r="D18" s="266">
        <f>SUM(D15:D17)</f>
        <v>4375.9978</v>
      </c>
      <c r="E18" s="260"/>
      <c r="F18" s="152"/>
      <c r="G18" s="153"/>
      <c r="H18" s="152"/>
      <c r="I18" s="153"/>
      <c r="J18" s="152"/>
      <c r="K18" s="153"/>
      <c r="L18" s="153"/>
      <c r="M18" s="153"/>
      <c r="N18" s="153"/>
      <c r="O18" s="152"/>
      <c r="P18" s="153"/>
      <c r="Q18" s="152"/>
      <c r="R18" s="154"/>
      <c r="S18" s="33"/>
    </row>
    <row r="19" spans="1:19" ht="31.5" customHeight="1">
      <c r="A19" s="152"/>
      <c r="B19" s="152"/>
      <c r="C19" s="152"/>
      <c r="D19" s="152"/>
      <c r="E19" s="153"/>
      <c r="F19" s="152"/>
      <c r="G19" s="153"/>
      <c r="H19" s="152"/>
      <c r="I19" s="153"/>
      <c r="J19" s="152"/>
      <c r="K19" s="153"/>
      <c r="L19" s="153"/>
      <c r="M19" s="153"/>
      <c r="N19" s="153"/>
      <c r="O19" s="152"/>
      <c r="P19" s="153"/>
      <c r="Q19" s="152"/>
      <c r="R19" s="154"/>
      <c r="S19" s="33"/>
    </row>
    <row r="20" spans="1:19" ht="31.5" customHeight="1" thickBot="1">
      <c r="A20" s="152"/>
      <c r="B20" s="408" t="s">
        <v>140</v>
      </c>
      <c r="C20" s="409"/>
      <c r="D20" s="409"/>
      <c r="E20" s="409"/>
      <c r="F20" s="409"/>
      <c r="G20" s="409"/>
      <c r="H20" s="409"/>
      <c r="I20" s="409"/>
      <c r="J20" s="409"/>
      <c r="K20" s="410"/>
      <c r="L20" s="153"/>
      <c r="M20" s="153"/>
      <c r="N20" s="153"/>
      <c r="O20" s="152"/>
      <c r="P20" s="153"/>
      <c r="Q20" s="152"/>
      <c r="R20" s="154"/>
      <c r="S20" s="122"/>
    </row>
    <row r="21" spans="1:19" ht="42" customHeight="1" thickBot="1">
      <c r="A21" s="152"/>
      <c r="B21" s="160" t="s">
        <v>77</v>
      </c>
      <c r="C21" s="31" t="s">
        <v>78</v>
      </c>
      <c r="D21" s="31" t="s">
        <v>137</v>
      </c>
      <c r="E21" s="162" t="s">
        <v>80</v>
      </c>
      <c r="F21" s="31"/>
      <c r="G21" s="162"/>
      <c r="H21" s="31"/>
      <c r="I21" s="162"/>
      <c r="J21" s="31"/>
      <c r="K21" s="163" t="s">
        <v>79</v>
      </c>
      <c r="L21" s="153"/>
      <c r="M21" s="153"/>
      <c r="N21" s="153"/>
      <c r="O21" s="152"/>
      <c r="P21" s="153"/>
      <c r="Q21" s="152"/>
      <c r="R21" s="154"/>
      <c r="S21" s="122"/>
    </row>
    <row r="22" spans="1:19" ht="31.5" customHeight="1">
      <c r="A22" s="152"/>
      <c r="B22" s="27">
        <v>3</v>
      </c>
      <c r="C22" s="27">
        <v>3</v>
      </c>
      <c r="D22" s="259">
        <f>E28/2*3*3</f>
        <v>321.13620000000003</v>
      </c>
      <c r="E22" s="259">
        <f>E28*80/100*3*3</f>
        <v>513.8179200000001</v>
      </c>
      <c r="F22" s="259"/>
      <c r="G22" s="259"/>
      <c r="H22" s="259"/>
      <c r="I22" s="259"/>
      <c r="J22" s="259"/>
      <c r="K22" s="259">
        <f>E22-D22</f>
        <v>192.68172000000004</v>
      </c>
      <c r="L22" s="153"/>
      <c r="M22" s="153"/>
      <c r="N22" s="153"/>
      <c r="O22" s="152"/>
      <c r="P22" s="153"/>
      <c r="Q22" s="152"/>
      <c r="R22" s="154"/>
      <c r="S22" s="122"/>
    </row>
    <row r="23" spans="1:19" ht="31.5" customHeight="1">
      <c r="A23" s="152"/>
      <c r="B23" s="24">
        <v>15</v>
      </c>
      <c r="C23" s="24">
        <v>3</v>
      </c>
      <c r="D23" s="262">
        <f>E29/2*3*15</f>
        <v>1771.578</v>
      </c>
      <c r="E23" s="259">
        <f>E29*80/100*3*15</f>
        <v>2834.5248</v>
      </c>
      <c r="F23" s="262"/>
      <c r="G23" s="262"/>
      <c r="H23" s="262"/>
      <c r="I23" s="262"/>
      <c r="J23" s="262"/>
      <c r="K23" s="259">
        <f>E23-D23</f>
        <v>1062.9468000000002</v>
      </c>
      <c r="L23" s="153"/>
      <c r="M23" s="153"/>
      <c r="N23" s="153"/>
      <c r="O23" s="152"/>
      <c r="P23" s="153"/>
      <c r="Q23" s="152"/>
      <c r="R23" s="154"/>
      <c r="S23" s="122"/>
    </row>
    <row r="24" spans="1:19" ht="31.5" customHeight="1" thickBot="1">
      <c r="A24" s="152"/>
      <c r="B24" s="24">
        <v>2</v>
      </c>
      <c r="C24" s="24">
        <v>3</v>
      </c>
      <c r="D24" s="262">
        <f>E30/2*3*2</f>
        <v>256.7142</v>
      </c>
      <c r="E24" s="259">
        <f>E30*80/100*3*2</f>
        <v>410.74271999999996</v>
      </c>
      <c r="F24" s="262"/>
      <c r="G24" s="262"/>
      <c r="H24" s="262"/>
      <c r="I24" s="262"/>
      <c r="J24" s="262"/>
      <c r="K24" s="263">
        <f>E24-D24</f>
        <v>154.02851999999996</v>
      </c>
      <c r="L24" s="153"/>
      <c r="M24" s="171" t="s">
        <v>7</v>
      </c>
      <c r="N24" s="153"/>
      <c r="O24" s="152"/>
      <c r="P24" s="153"/>
      <c r="Q24" s="152"/>
      <c r="R24" s="154"/>
      <c r="S24" s="122"/>
    </row>
    <row r="25" spans="1:19" ht="31.5" customHeight="1" thickBot="1">
      <c r="A25" s="152"/>
      <c r="B25" s="152"/>
      <c r="C25" s="152"/>
      <c r="D25" s="165"/>
      <c r="E25" s="165"/>
      <c r="F25" s="165"/>
      <c r="G25" s="165"/>
      <c r="H25" s="165"/>
      <c r="I25" s="165"/>
      <c r="J25" s="165"/>
      <c r="K25" s="264">
        <f>SUM(K22:K24)</f>
        <v>1409.65704</v>
      </c>
      <c r="L25" s="153"/>
      <c r="M25" s="295">
        <f>D18+K25</f>
        <v>5785.65484</v>
      </c>
      <c r="N25" s="153"/>
      <c r="O25" s="152"/>
      <c r="P25" s="153"/>
      <c r="Q25" s="152"/>
      <c r="R25" s="154"/>
      <c r="S25" s="122"/>
    </row>
    <row r="26" spans="1:19" ht="31.5" customHeight="1">
      <c r="A26" s="152"/>
      <c r="B26" s="152"/>
      <c r="C26" s="165"/>
      <c r="D26" s="165"/>
      <c r="E26" s="165"/>
      <c r="F26" s="165"/>
      <c r="G26" s="165"/>
      <c r="H26" s="165"/>
      <c r="I26" s="165"/>
      <c r="J26" s="165"/>
      <c r="K26" s="165"/>
      <c r="L26" s="153"/>
      <c r="M26" s="153"/>
      <c r="N26" s="153"/>
      <c r="O26" s="152"/>
      <c r="P26" s="153"/>
      <c r="Q26" s="152"/>
      <c r="R26" s="154"/>
      <c r="S26" s="122"/>
    </row>
    <row r="27" spans="1:18" ht="28.5" customHeight="1">
      <c r="A27" s="155"/>
      <c r="B27" s="265"/>
      <c r="C27" s="265"/>
      <c r="D27" s="265"/>
      <c r="E27" s="281" t="s">
        <v>138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</row>
    <row r="28" spans="2:5" ht="12.75">
      <c r="B28" s="9"/>
      <c r="C28" s="9"/>
      <c r="D28" s="9"/>
      <c r="E28" s="284">
        <v>71.3636</v>
      </c>
    </row>
    <row r="29" spans="2:5" ht="12.75">
      <c r="B29" s="9"/>
      <c r="C29" s="9"/>
      <c r="D29" s="9"/>
      <c r="E29" s="284">
        <v>78.7368</v>
      </c>
    </row>
    <row r="30" spans="2:12" ht="12.75">
      <c r="B30" s="9"/>
      <c r="C30" s="9"/>
      <c r="D30" s="9"/>
      <c r="E30" s="284">
        <v>85.5714</v>
      </c>
      <c r="L30" s="110"/>
    </row>
    <row r="31" spans="2:12" ht="12.75">
      <c r="B31" s="9"/>
      <c r="C31" s="9"/>
      <c r="D31" s="9"/>
      <c r="E31" s="9"/>
      <c r="L31" s="110"/>
    </row>
    <row r="32" spans="2:5" ht="12.75">
      <c r="B32" s="9"/>
      <c r="C32" s="9"/>
      <c r="D32" s="9"/>
      <c r="E32" s="9"/>
    </row>
    <row r="33" spans="2:5" ht="12.75">
      <c r="B33" s="9"/>
      <c r="C33" s="9"/>
      <c r="D33" s="9"/>
      <c r="E33" s="9"/>
    </row>
    <row r="34" spans="16:18" ht="19.5" customHeight="1">
      <c r="P34" s="157"/>
      <c r="Q34" s="157"/>
      <c r="R34" s="158"/>
    </row>
    <row r="35" spans="16:18" ht="19.5" customHeight="1">
      <c r="P35" s="157"/>
      <c r="Q35" s="157"/>
      <c r="R35" s="159"/>
    </row>
    <row r="36" spans="16:18" ht="19.5" customHeight="1">
      <c r="P36" s="157"/>
      <c r="Q36" s="157"/>
      <c r="R36" s="159"/>
    </row>
  </sheetData>
  <mergeCells count="6">
    <mergeCell ref="B5:K5"/>
    <mergeCell ref="B20:K20"/>
    <mergeCell ref="B8:K8"/>
    <mergeCell ref="B9:K9"/>
    <mergeCell ref="B10:K10"/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0"/>
  <sheetViews>
    <sheetView workbookViewId="0" topLeftCell="A43">
      <selection activeCell="A56" sqref="A56:IV56"/>
    </sheetView>
  </sheetViews>
  <sheetFormatPr defaultColWidth="9.140625" defaultRowHeight="12.75"/>
  <cols>
    <col min="1" max="1" width="9.140625" style="9" customWidth="1"/>
    <col min="2" max="2" width="8.57421875" style="9" customWidth="1"/>
    <col min="3" max="3" width="12.57421875" style="9" customWidth="1"/>
    <col min="4" max="4" width="11.00390625" style="9" customWidth="1"/>
    <col min="5" max="7" width="9.140625" style="9" customWidth="1"/>
    <col min="8" max="8" width="12.140625" style="9" customWidth="1"/>
    <col min="9" max="9" width="12.57421875" style="9" customWidth="1"/>
    <col min="10" max="10" width="13.00390625" style="9" customWidth="1"/>
    <col min="11" max="11" width="17.7109375" style="9" customWidth="1"/>
    <col min="12" max="12" width="12.28125" style="9" bestFit="1" customWidth="1"/>
    <col min="13" max="13" width="11.28125" style="9" bestFit="1" customWidth="1"/>
    <col min="14" max="16384" width="9.140625" style="9" customWidth="1"/>
  </cols>
  <sheetData>
    <row r="1" ht="12.75">
      <c r="B1" s="34" t="s">
        <v>73</v>
      </c>
    </row>
    <row r="2" ht="12.75">
      <c r="D2" s="34"/>
    </row>
    <row r="3" ht="13.5" thickBot="1"/>
    <row r="4" spans="2:11" ht="18.75" thickBot="1">
      <c r="B4" s="365" t="s">
        <v>9</v>
      </c>
      <c r="C4" s="366"/>
      <c r="D4" s="366"/>
      <c r="E4" s="366"/>
      <c r="F4" s="366"/>
      <c r="G4" s="366"/>
      <c r="H4" s="366"/>
      <c r="I4" s="366"/>
      <c r="J4" s="412"/>
      <c r="K4" s="77"/>
    </row>
    <row r="5" spans="4:8" ht="12.75">
      <c r="D5" s="10"/>
      <c r="E5" s="10"/>
      <c r="F5" s="10"/>
      <c r="G5" s="10"/>
      <c r="H5" s="10"/>
    </row>
    <row r="6" spans="2:10" ht="12.75">
      <c r="B6" s="367" t="s">
        <v>81</v>
      </c>
      <c r="C6" s="413"/>
      <c r="D6" s="413"/>
      <c r="E6" s="413"/>
      <c r="F6" s="413"/>
      <c r="G6" s="413"/>
      <c r="H6" s="413"/>
      <c r="I6" s="413"/>
      <c r="J6" s="413"/>
    </row>
    <row r="7" spans="2:10" ht="12.75">
      <c r="B7" s="367" t="s">
        <v>82</v>
      </c>
      <c r="C7" s="413"/>
      <c r="D7" s="413"/>
      <c r="E7" s="413"/>
      <c r="F7" s="413"/>
      <c r="G7" s="413"/>
      <c r="H7" s="413"/>
      <c r="I7" s="413"/>
      <c r="J7" s="413"/>
    </row>
    <row r="8" spans="2:10" ht="12.75">
      <c r="B8" s="367" t="s">
        <v>83</v>
      </c>
      <c r="C8" s="413"/>
      <c r="D8" s="413"/>
      <c r="E8" s="413"/>
      <c r="F8" s="413"/>
      <c r="G8" s="413"/>
      <c r="H8" s="413"/>
      <c r="I8" s="413"/>
      <c r="J8" s="413"/>
    </row>
    <row r="9" spans="11:12" ht="12.75">
      <c r="K9" s="310"/>
      <c r="L9" s="311"/>
    </row>
    <row r="10" spans="2:10" ht="12.75">
      <c r="B10" s="364" t="s">
        <v>56</v>
      </c>
      <c r="C10" s="364"/>
      <c r="D10" s="364"/>
      <c r="E10" s="364"/>
      <c r="F10" s="364"/>
      <c r="G10" s="364"/>
      <c r="H10" s="364"/>
      <c r="I10" s="364"/>
      <c r="J10" s="364"/>
    </row>
    <row r="11" ht="6.75" customHeight="1" thickBot="1"/>
    <row r="12" spans="2:11" ht="12.75">
      <c r="B12" s="37"/>
      <c r="C12" s="50" t="s">
        <v>10</v>
      </c>
      <c r="D12" s="51" t="s">
        <v>11</v>
      </c>
      <c r="E12" s="51"/>
      <c r="F12" s="51"/>
      <c r="G12" s="50" t="s">
        <v>8</v>
      </c>
      <c r="H12" s="112" t="s">
        <v>12</v>
      </c>
      <c r="I12" s="35" t="s">
        <v>13</v>
      </c>
      <c r="K12" s="11"/>
    </row>
    <row r="13" spans="2:11" ht="12.75">
      <c r="B13" s="38" t="s">
        <v>21</v>
      </c>
      <c r="C13" s="52" t="s">
        <v>14</v>
      </c>
      <c r="D13" s="53" t="s">
        <v>15</v>
      </c>
      <c r="E13" s="53" t="s">
        <v>16</v>
      </c>
      <c r="F13" s="53" t="s">
        <v>17</v>
      </c>
      <c r="G13" s="52" t="s">
        <v>18</v>
      </c>
      <c r="H13" s="113" t="s">
        <v>19</v>
      </c>
      <c r="I13" s="116" t="s">
        <v>20</v>
      </c>
      <c r="K13" s="11"/>
    </row>
    <row r="14" spans="2:11" ht="13.5" thickBot="1">
      <c r="B14" s="39"/>
      <c r="C14" s="54" t="s">
        <v>22</v>
      </c>
      <c r="D14" s="55" t="s">
        <v>23</v>
      </c>
      <c r="E14" s="62"/>
      <c r="F14" s="55" t="s">
        <v>24</v>
      </c>
      <c r="G14" s="54" t="s">
        <v>25</v>
      </c>
      <c r="H14" s="114" t="s">
        <v>26</v>
      </c>
      <c r="I14" s="36" t="s">
        <v>27</v>
      </c>
      <c r="K14" s="11"/>
    </row>
    <row r="15" spans="2:11" ht="13.5" hidden="1" thickBot="1">
      <c r="B15" s="199"/>
      <c r="C15" s="52"/>
      <c r="D15" s="292">
        <v>0.1755</v>
      </c>
      <c r="E15" s="292">
        <v>0.0915</v>
      </c>
      <c r="F15" s="292">
        <v>0.3136</v>
      </c>
      <c r="G15" s="52"/>
      <c r="H15" s="113"/>
      <c r="I15" s="116"/>
      <c r="K15" s="11"/>
    </row>
    <row r="16" spans="2:12" ht="12.75">
      <c r="B16" s="65">
        <v>1</v>
      </c>
      <c r="C16" s="243">
        <v>0.124</v>
      </c>
      <c r="D16" s="215">
        <f>C16*$D$15</f>
        <v>0.021762</v>
      </c>
      <c r="E16" s="215">
        <f>C16*$E$15</f>
        <v>0.011346</v>
      </c>
      <c r="F16" s="215">
        <f>C16*$F$15</f>
        <v>0.0388864</v>
      </c>
      <c r="G16" s="215">
        <f>C16+D16+E16+F16</f>
        <v>0.1959944</v>
      </c>
      <c r="H16" s="65">
        <v>153435</v>
      </c>
      <c r="I16" s="117">
        <f>G16*H16</f>
        <v>30072.400764</v>
      </c>
      <c r="J16" s="107"/>
      <c r="K16" s="11"/>
      <c r="L16" s="74"/>
    </row>
    <row r="17" spans="2:11" ht="12.75">
      <c r="B17" s="46">
        <v>2</v>
      </c>
      <c r="C17" s="244">
        <v>0.161</v>
      </c>
      <c r="D17" s="216">
        <f>C17*$D$15</f>
        <v>0.0282555</v>
      </c>
      <c r="E17" s="218">
        <f>C17*$E$15</f>
        <v>0.0147315</v>
      </c>
      <c r="F17" s="218">
        <f>C17*$F$15</f>
        <v>0.0504896</v>
      </c>
      <c r="G17" s="218">
        <f>C17+D17+E17+F17</f>
        <v>0.2544766</v>
      </c>
      <c r="H17" s="46">
        <v>304965</v>
      </c>
      <c r="I17" s="118">
        <f>G17*H17</f>
        <v>77606.456319</v>
      </c>
      <c r="J17" s="107"/>
      <c r="K17" s="11"/>
    </row>
    <row r="18" spans="2:11" ht="12.75">
      <c r="B18" s="46">
        <v>3</v>
      </c>
      <c r="C18" s="244">
        <v>0.173</v>
      </c>
      <c r="D18" s="217">
        <f>C18*$D$15</f>
        <v>0.030361499999999996</v>
      </c>
      <c r="E18" s="217">
        <f>C18*$E$15</f>
        <v>0.0158295</v>
      </c>
      <c r="F18" s="217">
        <f>C18*$F$15</f>
        <v>0.0542528</v>
      </c>
      <c r="G18" s="217">
        <f>C18+D18+E18+F18</f>
        <v>0.27344379999999996</v>
      </c>
      <c r="H18" s="46">
        <v>145610</v>
      </c>
      <c r="I18" s="118">
        <f>G18*H18</f>
        <v>39816.151717999994</v>
      </c>
      <c r="J18" s="107"/>
      <c r="K18" s="11"/>
    </row>
    <row r="19" spans="2:11" ht="12.75">
      <c r="B19" s="47">
        <v>4</v>
      </c>
      <c r="C19" s="245">
        <v>0.2</v>
      </c>
      <c r="D19" s="216">
        <f>C19*$D$15</f>
        <v>0.0351</v>
      </c>
      <c r="E19" s="218">
        <f>C19*$E$15</f>
        <v>0.0183</v>
      </c>
      <c r="F19" s="218">
        <f>C19*$F$15</f>
        <v>0.06272</v>
      </c>
      <c r="G19" s="218">
        <f>C19+D19+E19+F19</f>
        <v>0.31612</v>
      </c>
      <c r="H19" s="47">
        <v>168683</v>
      </c>
      <c r="I19" s="119">
        <f>G19*H19</f>
        <v>53324.06996</v>
      </c>
      <c r="J19" s="107"/>
      <c r="K19" s="11"/>
    </row>
    <row r="20" spans="2:11" ht="13.5" thickBot="1">
      <c r="B20" s="47">
        <v>5</v>
      </c>
      <c r="C20" s="245">
        <v>0.235</v>
      </c>
      <c r="D20" s="216">
        <f>C20*$D$15</f>
        <v>0.041242499999999994</v>
      </c>
      <c r="E20" s="218">
        <f>C20*$E$15</f>
        <v>0.021502499999999997</v>
      </c>
      <c r="F20" s="218">
        <f>C20*$F$15</f>
        <v>0.073696</v>
      </c>
      <c r="G20" s="218">
        <f>C20+D20+E20+F20</f>
        <v>0.37144099999999997</v>
      </c>
      <c r="H20" s="47">
        <v>32721</v>
      </c>
      <c r="I20" s="223">
        <f>G20*H20</f>
        <v>12153.920960999998</v>
      </c>
      <c r="J20" s="107"/>
      <c r="K20" s="11"/>
    </row>
    <row r="21" spans="2:11" ht="13.5" thickBot="1">
      <c r="B21" s="48"/>
      <c r="C21" s="219"/>
      <c r="D21" s="220"/>
      <c r="E21" s="220"/>
      <c r="F21" s="220"/>
      <c r="G21" s="220"/>
      <c r="H21" s="221"/>
      <c r="I21" s="224">
        <f>SUM(I16:I20)</f>
        <v>212972.999722</v>
      </c>
      <c r="J21" s="107"/>
      <c r="K21" s="11"/>
    </row>
    <row r="22" spans="2:11" ht="12.75">
      <c r="B22" s="48" t="s">
        <v>92</v>
      </c>
      <c r="C22" s="219"/>
      <c r="D22" s="220"/>
      <c r="E22" s="220"/>
      <c r="F22" s="220"/>
      <c r="G22" s="220"/>
      <c r="H22" s="49"/>
      <c r="I22" s="117"/>
      <c r="J22" s="107"/>
      <c r="K22" s="11"/>
    </row>
    <row r="23" spans="2:11" ht="13.5" thickBot="1">
      <c r="B23" s="46">
        <v>1</v>
      </c>
      <c r="C23" s="66"/>
      <c r="D23" s="218"/>
      <c r="E23" s="218"/>
      <c r="F23" s="218"/>
      <c r="G23" s="218"/>
      <c r="H23" s="48"/>
      <c r="I23" s="119"/>
      <c r="J23" s="107"/>
      <c r="K23" s="11"/>
    </row>
    <row r="24" spans="2:11" ht="13.5" thickBot="1">
      <c r="B24" s="46">
        <v>2</v>
      </c>
      <c r="C24" s="244">
        <v>0.161</v>
      </c>
      <c r="D24" s="216">
        <f>C24*$D$15</f>
        <v>0.0282555</v>
      </c>
      <c r="E24" s="218">
        <f>C24*$E$15</f>
        <v>0.0147315</v>
      </c>
      <c r="F24" s="218">
        <f>C24*$F$15</f>
        <v>0.0504896</v>
      </c>
      <c r="G24" s="218">
        <f>C24+D24+E24+F24</f>
        <v>0.2544766</v>
      </c>
      <c r="H24" s="48">
        <v>7176</v>
      </c>
      <c r="I24" s="224">
        <f>G24*H24</f>
        <v>1826.1240816</v>
      </c>
      <c r="J24" s="107"/>
      <c r="K24" s="11"/>
    </row>
    <row r="25" spans="2:11" ht="12.75">
      <c r="B25" s="46">
        <v>3</v>
      </c>
      <c r="C25" s="66"/>
      <c r="D25" s="218"/>
      <c r="E25" s="218"/>
      <c r="F25" s="218"/>
      <c r="G25" s="218"/>
      <c r="H25" s="48"/>
      <c r="I25" s="240"/>
      <c r="J25" s="107"/>
      <c r="K25" s="11"/>
    </row>
    <row r="26" spans="2:11" ht="12.75">
      <c r="B26" s="46">
        <v>4</v>
      </c>
      <c r="C26" s="66"/>
      <c r="D26" s="218"/>
      <c r="E26" s="218"/>
      <c r="F26" s="218"/>
      <c r="G26" s="218"/>
      <c r="H26" s="48"/>
      <c r="I26" s="118"/>
      <c r="J26" s="107"/>
      <c r="K26" s="11"/>
    </row>
    <row r="27" spans="2:11" ht="13.5" thickBot="1">
      <c r="B27" s="46">
        <v>5</v>
      </c>
      <c r="C27" s="66"/>
      <c r="D27" s="218"/>
      <c r="E27" s="218"/>
      <c r="F27" s="218"/>
      <c r="G27" s="218"/>
      <c r="H27" s="48"/>
      <c r="I27" s="223"/>
      <c r="J27" s="107"/>
      <c r="K27" s="11"/>
    </row>
    <row r="28" spans="2:11" ht="13.5" thickBot="1">
      <c r="B28" s="48" t="s">
        <v>8</v>
      </c>
      <c r="C28" s="49"/>
      <c r="D28" s="49"/>
      <c r="E28" s="49"/>
      <c r="F28" s="49"/>
      <c r="G28" s="49"/>
      <c r="H28" s="221"/>
      <c r="I28" s="106">
        <f>SUM(I16:I20,I23:I27)</f>
        <v>214799.1238036</v>
      </c>
      <c r="J28" s="108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364" t="s">
        <v>57</v>
      </c>
      <c r="C31" s="364"/>
      <c r="D31" s="364"/>
      <c r="E31" s="364"/>
      <c r="F31" s="364"/>
      <c r="G31" s="364"/>
      <c r="H31" s="364"/>
      <c r="I31" s="364"/>
      <c r="J31" s="364"/>
      <c r="K31" s="197"/>
    </row>
    <row r="32" ht="6.75" customHeight="1" thickBot="1"/>
    <row r="33" spans="2:10" ht="12.75">
      <c r="B33" s="37"/>
      <c r="C33" s="50" t="s">
        <v>10</v>
      </c>
      <c r="D33" s="51" t="s">
        <v>11</v>
      </c>
      <c r="E33" s="51"/>
      <c r="F33" s="51" t="s">
        <v>8</v>
      </c>
      <c r="G33" s="51" t="s">
        <v>8</v>
      </c>
      <c r="H33" s="50" t="s">
        <v>13</v>
      </c>
      <c r="I33" s="112" t="s">
        <v>12</v>
      </c>
      <c r="J33" s="35" t="s">
        <v>13</v>
      </c>
    </row>
    <row r="34" spans="2:10" ht="12.75">
      <c r="B34" s="38" t="s">
        <v>21</v>
      </c>
      <c r="C34" s="52" t="s">
        <v>14</v>
      </c>
      <c r="D34" s="53" t="s">
        <v>15</v>
      </c>
      <c r="E34" s="53" t="s">
        <v>16</v>
      </c>
      <c r="F34" s="53" t="s">
        <v>18</v>
      </c>
      <c r="G34" s="53" t="s">
        <v>18</v>
      </c>
      <c r="H34" s="52" t="s">
        <v>28</v>
      </c>
      <c r="I34" s="113" t="s">
        <v>29</v>
      </c>
      <c r="J34" s="116" t="s">
        <v>20</v>
      </c>
    </row>
    <row r="35" spans="2:10" ht="13.5" thickBot="1">
      <c r="B35" s="39"/>
      <c r="C35" s="54" t="s">
        <v>22</v>
      </c>
      <c r="D35" s="55" t="s">
        <v>23</v>
      </c>
      <c r="E35" s="62"/>
      <c r="F35" s="55" t="s">
        <v>25</v>
      </c>
      <c r="G35" s="55" t="s">
        <v>30</v>
      </c>
      <c r="H35" s="54" t="s">
        <v>31</v>
      </c>
      <c r="I35" s="114"/>
      <c r="J35" s="36" t="s">
        <v>27</v>
      </c>
    </row>
    <row r="36" spans="2:10" ht="13.5" hidden="1" thickBot="1">
      <c r="B36" s="199"/>
      <c r="C36" s="201"/>
      <c r="D36" s="304">
        <v>0.176</v>
      </c>
      <c r="E36" s="305">
        <v>13.5</v>
      </c>
      <c r="F36" s="201"/>
      <c r="G36" s="201"/>
      <c r="H36" s="201"/>
      <c r="I36" s="202"/>
      <c r="J36" s="203"/>
    </row>
    <row r="37" spans="2:11" ht="12.75">
      <c r="B37" s="47">
        <v>1</v>
      </c>
      <c r="C37" s="243">
        <v>0.124</v>
      </c>
      <c r="D37" s="229">
        <f>C37*$D$36</f>
        <v>0.021824</v>
      </c>
      <c r="E37" s="226">
        <f>C37/$E$36</f>
        <v>0.009185185185185185</v>
      </c>
      <c r="F37" s="228">
        <f>C37+D37+E37</f>
        <v>0.1550091851851852</v>
      </c>
      <c r="G37" s="200">
        <f>F37*169</f>
        <v>26.196552296296296</v>
      </c>
      <c r="H37" s="194">
        <f>G37*14</f>
        <v>366.75173214814816</v>
      </c>
      <c r="I37" s="47">
        <v>0</v>
      </c>
      <c r="J37" s="120">
        <f>H37*I37</f>
        <v>0</v>
      </c>
      <c r="K37" s="195"/>
    </row>
    <row r="38" spans="2:11" ht="12.75">
      <c r="B38" s="46">
        <v>2</v>
      </c>
      <c r="C38" s="244">
        <v>0.161</v>
      </c>
      <c r="D38" s="229">
        <f>C38*$D$36</f>
        <v>0.028336</v>
      </c>
      <c r="E38" s="227">
        <f>C38/$E$36</f>
        <v>0.011925925925925927</v>
      </c>
      <c r="F38" s="228">
        <f>C38+D38+E38</f>
        <v>0.20126192592592593</v>
      </c>
      <c r="G38" s="70">
        <f>F38*169</f>
        <v>34.01326548148148</v>
      </c>
      <c r="H38" s="66">
        <f>G38*14</f>
        <v>476.18571674074076</v>
      </c>
      <c r="I38" s="46">
        <v>5</v>
      </c>
      <c r="J38" s="118">
        <f>H38*I38</f>
        <v>2380.9285837037037</v>
      </c>
      <c r="K38" s="195"/>
    </row>
    <row r="39" spans="2:11" ht="12.75">
      <c r="B39" s="46">
        <v>3</v>
      </c>
      <c r="C39" s="244">
        <v>0.173</v>
      </c>
      <c r="D39" s="229">
        <f>C39*$D$36</f>
        <v>0.030447999999999996</v>
      </c>
      <c r="E39" s="227">
        <f>C39/$E$36</f>
        <v>0.012814814814814814</v>
      </c>
      <c r="F39" s="228">
        <f>C39+D39+E39</f>
        <v>0.2162628148148148</v>
      </c>
      <c r="G39" s="70">
        <f>F39*169</f>
        <v>36.548415703703704</v>
      </c>
      <c r="H39" s="66">
        <f>G39*14</f>
        <v>511.67781985185184</v>
      </c>
      <c r="I39" s="46">
        <v>5</v>
      </c>
      <c r="J39" s="118">
        <f>H39*I39</f>
        <v>2558.389099259259</v>
      </c>
      <c r="K39" s="195"/>
    </row>
    <row r="40" spans="2:11" ht="12.75">
      <c r="B40" s="47">
        <v>4</v>
      </c>
      <c r="C40" s="245">
        <v>0.2</v>
      </c>
      <c r="D40" s="229">
        <f>C40*$D$36</f>
        <v>0.0352</v>
      </c>
      <c r="E40" s="227">
        <f>C40/$E$36</f>
        <v>0.014814814814814815</v>
      </c>
      <c r="F40" s="228">
        <f>C40+D40+E40</f>
        <v>0.25001481481481486</v>
      </c>
      <c r="G40" s="72">
        <f>F40*169</f>
        <v>42.25250370370371</v>
      </c>
      <c r="H40" s="64">
        <f>G40*14</f>
        <v>591.5350518518519</v>
      </c>
      <c r="I40" s="47">
        <v>47</v>
      </c>
      <c r="J40" s="120">
        <f>H40*I40</f>
        <v>27802.147437037038</v>
      </c>
      <c r="K40" s="195"/>
    </row>
    <row r="41" spans="2:11" ht="13.5" thickBot="1">
      <c r="B41" s="47">
        <v>5</v>
      </c>
      <c r="C41" s="245">
        <v>0.235</v>
      </c>
      <c r="D41" s="229">
        <f>C41*$D$36</f>
        <v>0.041359999999999994</v>
      </c>
      <c r="E41" s="227">
        <f>C41/$E$36</f>
        <v>0.017407407407407406</v>
      </c>
      <c r="F41" s="228">
        <f>C41+D41+E41</f>
        <v>0.2937674074074074</v>
      </c>
      <c r="G41" s="72">
        <f>F41*169</f>
        <v>49.646691851851855</v>
      </c>
      <c r="H41" s="64">
        <f>G41*14</f>
        <v>695.053685925926</v>
      </c>
      <c r="I41" s="47">
        <v>26</v>
      </c>
      <c r="J41" s="223">
        <f>H41*I41</f>
        <v>18071.395834074076</v>
      </c>
      <c r="K41" s="195"/>
    </row>
    <row r="42" spans="2:11" ht="13.5" thickBot="1">
      <c r="B42" s="48"/>
      <c r="C42" s="219"/>
      <c r="D42" s="229"/>
      <c r="E42" s="225"/>
      <c r="F42" s="225"/>
      <c r="G42" s="71"/>
      <c r="H42" s="219"/>
      <c r="I42" s="221"/>
      <c r="J42" s="224">
        <f>SUM(J37:J41)</f>
        <v>50812.86095407407</v>
      </c>
      <c r="K42" s="195"/>
    </row>
    <row r="43" spans="2:11" ht="12.75">
      <c r="B43" s="48" t="s">
        <v>92</v>
      </c>
      <c r="C43" s="219"/>
      <c r="D43" s="229"/>
      <c r="E43" s="225"/>
      <c r="F43" s="225"/>
      <c r="G43" s="71"/>
      <c r="H43" s="219"/>
      <c r="I43" s="222"/>
      <c r="J43" s="120"/>
      <c r="K43" s="195"/>
    </row>
    <row r="44" spans="2:11" ht="12.75">
      <c r="B44" s="46">
        <v>4</v>
      </c>
      <c r="C44" s="245">
        <v>0.2</v>
      </c>
      <c r="D44" s="229">
        <f>C44*$D$36</f>
        <v>0.0352</v>
      </c>
      <c r="E44" s="227">
        <f>C44/$E$36</f>
        <v>0.014814814814814815</v>
      </c>
      <c r="F44" s="228">
        <f>C44+D44+E44</f>
        <v>0.25001481481481486</v>
      </c>
      <c r="G44" s="72">
        <f>F44*169</f>
        <v>42.25250370370371</v>
      </c>
      <c r="H44" s="64">
        <f>G44*14</f>
        <v>591.5350518518519</v>
      </c>
      <c r="I44" s="59">
        <v>1</v>
      </c>
      <c r="J44" s="118">
        <f>H44*I44</f>
        <v>591.5350518518519</v>
      </c>
      <c r="K44" s="195"/>
    </row>
    <row r="45" spans="2:11" ht="13.5" thickBot="1">
      <c r="B45" s="46">
        <v>5</v>
      </c>
      <c r="C45" s="245">
        <v>0.235</v>
      </c>
      <c r="D45" s="229">
        <f>C45*$D$36</f>
        <v>0.041359999999999994</v>
      </c>
      <c r="E45" s="227">
        <f>C45/$E$36</f>
        <v>0.017407407407407406</v>
      </c>
      <c r="F45" s="228">
        <f>C45+D45+E45</f>
        <v>0.2937674074074074</v>
      </c>
      <c r="G45" s="72">
        <f>F45*169</f>
        <v>49.646691851851855</v>
      </c>
      <c r="H45" s="64">
        <f>G45*14</f>
        <v>695.053685925926</v>
      </c>
      <c r="I45" s="230">
        <v>1</v>
      </c>
      <c r="J45" s="223">
        <f>H45*I45</f>
        <v>695.053685925926</v>
      </c>
      <c r="K45" s="195"/>
    </row>
    <row r="46" spans="2:11" ht="13.5" thickBot="1">
      <c r="B46" s="232"/>
      <c r="C46" s="233"/>
      <c r="D46" s="234"/>
      <c r="E46" s="235"/>
      <c r="F46" s="235"/>
      <c r="G46" s="236"/>
      <c r="H46" s="233"/>
      <c r="I46" s="241"/>
      <c r="J46" s="231">
        <f>SUM(J44:J45)</f>
        <v>1286.5887377777779</v>
      </c>
      <c r="K46" s="195"/>
    </row>
    <row r="47" spans="2:11" ht="13.5" thickBot="1">
      <c r="B47" s="48"/>
      <c r="C47" s="219"/>
      <c r="D47" s="229"/>
      <c r="E47" s="225"/>
      <c r="F47" s="225"/>
      <c r="G47" s="71"/>
      <c r="H47" s="219"/>
      <c r="I47" s="242"/>
      <c r="J47" s="237"/>
      <c r="K47" s="107"/>
    </row>
    <row r="48" spans="2:11" ht="13.5" thickBot="1">
      <c r="B48" s="48" t="s">
        <v>8</v>
      </c>
      <c r="C48" s="49"/>
      <c r="D48" s="49"/>
      <c r="E48" s="49"/>
      <c r="F48" s="49"/>
      <c r="G48" s="49"/>
      <c r="H48" s="49"/>
      <c r="I48" s="49"/>
      <c r="J48" s="106">
        <f>SUM(J37:J41,J44:J45)</f>
        <v>52099.44969185185</v>
      </c>
      <c r="K48" s="196"/>
    </row>
    <row r="51" spans="2:11" ht="12.75">
      <c r="B51" s="364" t="s">
        <v>58</v>
      </c>
      <c r="C51" s="364"/>
      <c r="D51" s="364"/>
      <c r="E51" s="364"/>
      <c r="F51" s="364"/>
      <c r="G51" s="364"/>
      <c r="H51" s="364"/>
      <c r="I51" s="364"/>
      <c r="J51" s="364"/>
      <c r="K51" s="197"/>
    </row>
    <row r="52" ht="6.75" customHeight="1" thickBot="1"/>
    <row r="53" spans="2:10" ht="12.75">
      <c r="B53" s="37"/>
      <c r="C53" s="51" t="s">
        <v>10</v>
      </c>
      <c r="D53" s="51" t="s">
        <v>11</v>
      </c>
      <c r="E53" s="51" t="s">
        <v>16</v>
      </c>
      <c r="F53" s="51" t="s">
        <v>8</v>
      </c>
      <c r="G53" s="56" t="s">
        <v>12</v>
      </c>
      <c r="H53" s="50" t="s">
        <v>8</v>
      </c>
      <c r="I53" s="112" t="s">
        <v>12</v>
      </c>
      <c r="J53" s="35" t="s">
        <v>13</v>
      </c>
    </row>
    <row r="54" spans="2:10" ht="12.75">
      <c r="B54" s="38" t="s">
        <v>21</v>
      </c>
      <c r="C54" s="53" t="s">
        <v>32</v>
      </c>
      <c r="D54" s="53" t="s">
        <v>15</v>
      </c>
      <c r="E54" s="57" t="s">
        <v>33</v>
      </c>
      <c r="F54" s="53" t="s">
        <v>18</v>
      </c>
      <c r="G54" s="57" t="s">
        <v>34</v>
      </c>
      <c r="H54" s="52" t="s">
        <v>18</v>
      </c>
      <c r="I54" s="113" t="s">
        <v>29</v>
      </c>
      <c r="J54" s="116" t="s">
        <v>20</v>
      </c>
    </row>
    <row r="55" spans="2:10" ht="13.5" thickBot="1">
      <c r="B55" s="39"/>
      <c r="C55" s="55" t="s">
        <v>22</v>
      </c>
      <c r="D55" s="55" t="s">
        <v>23</v>
      </c>
      <c r="E55" s="61"/>
      <c r="F55" s="55" t="s">
        <v>32</v>
      </c>
      <c r="G55" s="58" t="s">
        <v>35</v>
      </c>
      <c r="H55" s="54" t="s">
        <v>36</v>
      </c>
      <c r="I55" s="114"/>
      <c r="J55" s="36" t="s">
        <v>27</v>
      </c>
    </row>
    <row r="56" spans="2:10" ht="13.5" hidden="1" thickBot="1">
      <c r="B56" s="199"/>
      <c r="C56" s="53"/>
      <c r="D56" s="306">
        <v>0.1472</v>
      </c>
      <c r="E56" s="306">
        <v>0.0944</v>
      </c>
      <c r="F56" s="53"/>
      <c r="G56" s="57"/>
      <c r="H56" s="52"/>
      <c r="I56" s="113"/>
      <c r="J56" s="116"/>
    </row>
    <row r="57" spans="2:11" ht="12.75">
      <c r="B57" s="65">
        <v>1</v>
      </c>
      <c r="C57" s="104">
        <v>20.83</v>
      </c>
      <c r="D57" s="104">
        <f aca="true" t="shared" si="0" ref="D57:D62">C57*$D$56</f>
        <v>3.0661759999999996</v>
      </c>
      <c r="E57" s="104">
        <f aca="true" t="shared" si="1" ref="E57:E62">C57*$E$56</f>
        <v>1.9663519999999999</v>
      </c>
      <c r="F57" s="104">
        <f aca="true" t="shared" si="2" ref="F57:F62">C57+D57+E57</f>
        <v>25.862527999999998</v>
      </c>
      <c r="G57" s="68">
        <v>13</v>
      </c>
      <c r="H57" s="105">
        <f aca="true" t="shared" si="3" ref="H57:H62">F57*G57</f>
        <v>336.21286399999997</v>
      </c>
      <c r="I57" s="65">
        <v>0</v>
      </c>
      <c r="J57" s="117">
        <f aca="true" t="shared" si="4" ref="J57:J62">H57*I57</f>
        <v>0</v>
      </c>
      <c r="K57" s="195"/>
    </row>
    <row r="58" spans="2:11" ht="12.75">
      <c r="B58" s="46">
        <v>2</v>
      </c>
      <c r="C58" s="66">
        <v>27.04</v>
      </c>
      <c r="D58" s="66">
        <f t="shared" si="0"/>
        <v>3.980288</v>
      </c>
      <c r="E58" s="66">
        <f t="shared" si="1"/>
        <v>2.5525759999999997</v>
      </c>
      <c r="F58" s="66">
        <f t="shared" si="2"/>
        <v>33.572864</v>
      </c>
      <c r="G58" s="69">
        <v>13</v>
      </c>
      <c r="H58" s="67">
        <f t="shared" si="3"/>
        <v>436.44723200000004</v>
      </c>
      <c r="I58" s="46">
        <v>1</v>
      </c>
      <c r="J58" s="118">
        <f t="shared" si="4"/>
        <v>436.44723200000004</v>
      </c>
      <c r="K58" s="195"/>
    </row>
    <row r="59" spans="2:11" ht="12.75">
      <c r="B59" s="46">
        <v>3</v>
      </c>
      <c r="C59" s="66">
        <v>29.02</v>
      </c>
      <c r="D59" s="198">
        <f t="shared" si="0"/>
        <v>4.271744</v>
      </c>
      <c r="E59" s="198">
        <f t="shared" si="1"/>
        <v>2.7394879999999997</v>
      </c>
      <c r="F59" s="198">
        <f t="shared" si="2"/>
        <v>36.031232</v>
      </c>
      <c r="G59" s="69">
        <v>13</v>
      </c>
      <c r="H59" s="194">
        <f t="shared" si="3"/>
        <v>468.406016</v>
      </c>
      <c r="I59" s="46">
        <v>24</v>
      </c>
      <c r="J59" s="118">
        <f t="shared" si="4"/>
        <v>11241.744384000001</v>
      </c>
      <c r="K59" s="195"/>
    </row>
    <row r="60" spans="2:13" ht="12.75">
      <c r="B60" s="46">
        <v>4</v>
      </c>
      <c r="C60" s="66">
        <v>33.18</v>
      </c>
      <c r="D60" s="66">
        <f t="shared" si="0"/>
        <v>4.8840959999999995</v>
      </c>
      <c r="E60" s="66">
        <f t="shared" si="1"/>
        <v>3.132192</v>
      </c>
      <c r="F60" s="66">
        <f t="shared" si="2"/>
        <v>41.196287999999996</v>
      </c>
      <c r="G60" s="69">
        <v>13</v>
      </c>
      <c r="H60" s="67">
        <f t="shared" si="3"/>
        <v>535.551744</v>
      </c>
      <c r="I60" s="46">
        <v>16</v>
      </c>
      <c r="J60" s="118">
        <f t="shared" si="4"/>
        <v>8568.827904</v>
      </c>
      <c r="K60" s="195"/>
      <c r="M60" s="111"/>
    </row>
    <row r="61" spans="2:11" ht="12.75">
      <c r="B61" s="46">
        <v>5</v>
      </c>
      <c r="C61" s="66">
        <v>39.42</v>
      </c>
      <c r="D61" s="198">
        <f t="shared" si="0"/>
        <v>5.802624</v>
      </c>
      <c r="E61" s="198">
        <f t="shared" si="1"/>
        <v>3.721248</v>
      </c>
      <c r="F61" s="198">
        <f t="shared" si="2"/>
        <v>48.943872000000006</v>
      </c>
      <c r="G61" s="69">
        <v>13</v>
      </c>
      <c r="H61" s="194">
        <f t="shared" si="3"/>
        <v>636.270336</v>
      </c>
      <c r="I61" s="46">
        <v>15</v>
      </c>
      <c r="J61" s="118">
        <f t="shared" si="4"/>
        <v>9544.055040000001</v>
      </c>
      <c r="K61" s="195"/>
    </row>
    <row r="62" spans="2:11" ht="13.5" thickBot="1">
      <c r="B62" s="47">
        <v>6</v>
      </c>
      <c r="C62" s="63">
        <v>41.5</v>
      </c>
      <c r="D62" s="66">
        <f t="shared" si="0"/>
        <v>6.1088</v>
      </c>
      <c r="E62" s="66">
        <f t="shared" si="1"/>
        <v>3.9175999999999997</v>
      </c>
      <c r="F62" s="66">
        <f t="shared" si="2"/>
        <v>51.5264</v>
      </c>
      <c r="G62" s="69">
        <v>13</v>
      </c>
      <c r="H62" s="67">
        <f t="shared" si="3"/>
        <v>669.8432</v>
      </c>
      <c r="I62" s="47">
        <v>0</v>
      </c>
      <c r="J62" s="120">
        <f t="shared" si="4"/>
        <v>0</v>
      </c>
      <c r="K62" s="195"/>
    </row>
    <row r="63" spans="2:11" ht="13.5" thickBot="1">
      <c r="B63" s="48"/>
      <c r="C63" s="219"/>
      <c r="D63" s="219"/>
      <c r="E63" s="219"/>
      <c r="F63" s="219"/>
      <c r="G63" s="238"/>
      <c r="H63" s="219"/>
      <c r="I63" s="47"/>
      <c r="J63" s="125">
        <f>SUM(J57:J62)</f>
        <v>29791.07456</v>
      </c>
      <c r="K63" s="195"/>
    </row>
    <row r="64" spans="2:11" ht="12.75">
      <c r="B64" s="48" t="s">
        <v>92</v>
      </c>
      <c r="C64" s="219"/>
      <c r="D64" s="219"/>
      <c r="E64" s="219"/>
      <c r="F64" s="219"/>
      <c r="G64" s="238"/>
      <c r="H64" s="219"/>
      <c r="I64" s="47"/>
      <c r="J64" s="117"/>
      <c r="K64" s="195"/>
    </row>
    <row r="65" spans="2:11" ht="12.75">
      <c r="B65" s="48">
        <v>1</v>
      </c>
      <c r="C65" s="66"/>
      <c r="D65" s="66"/>
      <c r="E65" s="66"/>
      <c r="F65" s="66"/>
      <c r="G65" s="69"/>
      <c r="H65" s="66"/>
      <c r="I65" s="47"/>
      <c r="J65" s="118"/>
      <c r="K65" s="195"/>
    </row>
    <row r="66" spans="2:11" ht="12.75">
      <c r="B66" s="239">
        <v>2</v>
      </c>
      <c r="C66" s="66">
        <v>27.04</v>
      </c>
      <c r="D66" s="66">
        <f>C66*$D$56</f>
        <v>3.980288</v>
      </c>
      <c r="E66" s="66">
        <f>C66*$E$56</f>
        <v>2.5525759999999997</v>
      </c>
      <c r="F66" s="66">
        <f>C66+D66+E66</f>
        <v>33.572864</v>
      </c>
      <c r="G66" s="69">
        <v>13</v>
      </c>
      <c r="H66" s="66">
        <f>F66*G66</f>
        <v>436.44723200000004</v>
      </c>
      <c r="I66" s="47">
        <v>2</v>
      </c>
      <c r="J66" s="118">
        <f>H66*I66</f>
        <v>872.8944640000001</v>
      </c>
      <c r="K66" s="195"/>
    </row>
    <row r="67" spans="2:11" ht="12.75">
      <c r="B67" s="239">
        <v>3</v>
      </c>
      <c r="C67" s="66">
        <v>29.02</v>
      </c>
      <c r="D67" s="66">
        <f>C67*$D$56</f>
        <v>4.271744</v>
      </c>
      <c r="E67" s="66">
        <f>C67*$E$56</f>
        <v>2.7394879999999997</v>
      </c>
      <c r="F67" s="66">
        <f>C67+D67+E67</f>
        <v>36.031232</v>
      </c>
      <c r="G67" s="69">
        <v>13</v>
      </c>
      <c r="H67" s="66">
        <f>F67*G67</f>
        <v>468.406016</v>
      </c>
      <c r="I67" s="47">
        <v>8</v>
      </c>
      <c r="J67" s="118">
        <f>H67*I67</f>
        <v>3747.248128</v>
      </c>
      <c r="K67" s="195"/>
    </row>
    <row r="68" spans="2:11" ht="12.75">
      <c r="B68" s="48">
        <v>4</v>
      </c>
      <c r="C68" s="66"/>
      <c r="D68" s="66"/>
      <c r="E68" s="66"/>
      <c r="F68" s="66"/>
      <c r="G68" s="69"/>
      <c r="H68" s="66"/>
      <c r="I68" s="47"/>
      <c r="J68" s="118"/>
      <c r="K68" s="195"/>
    </row>
    <row r="69" spans="2:11" ht="12.75">
      <c r="B69" s="48">
        <v>5</v>
      </c>
      <c r="C69" s="66"/>
      <c r="D69" s="66"/>
      <c r="E69" s="66"/>
      <c r="F69" s="66"/>
      <c r="G69" s="69"/>
      <c r="H69" s="66"/>
      <c r="I69" s="47"/>
      <c r="J69" s="118"/>
      <c r="K69" s="195"/>
    </row>
    <row r="70" spans="2:11" ht="13.5" thickBot="1">
      <c r="B70" s="48">
        <v>6</v>
      </c>
      <c r="C70" s="66"/>
      <c r="D70" s="66"/>
      <c r="E70" s="66"/>
      <c r="F70" s="66"/>
      <c r="G70" s="69"/>
      <c r="H70" s="66"/>
      <c r="I70" s="47"/>
      <c r="J70" s="119"/>
      <c r="K70" s="195"/>
    </row>
    <row r="71" spans="2:11" ht="13.5" thickBot="1">
      <c r="B71" s="48"/>
      <c r="C71" s="219"/>
      <c r="D71" s="219"/>
      <c r="E71" s="219"/>
      <c r="F71" s="219"/>
      <c r="G71" s="238"/>
      <c r="H71" s="219"/>
      <c r="I71" s="221"/>
      <c r="J71" s="224">
        <f>SUM(J65:J70)</f>
        <v>4620.142592</v>
      </c>
      <c r="K71" s="195"/>
    </row>
    <row r="72" spans="2:11" ht="13.5" thickBot="1">
      <c r="B72" s="48"/>
      <c r="C72" s="219"/>
      <c r="D72" s="219"/>
      <c r="E72" s="219"/>
      <c r="F72" s="219"/>
      <c r="G72" s="238"/>
      <c r="H72" s="219"/>
      <c r="I72" s="222"/>
      <c r="J72" s="125"/>
      <c r="K72" s="195"/>
    </row>
    <row r="73" spans="2:11" ht="13.5" thickBot="1">
      <c r="B73" s="48" t="s">
        <v>8</v>
      </c>
      <c r="C73" s="49"/>
      <c r="D73" s="49"/>
      <c r="E73" s="49"/>
      <c r="F73" s="49"/>
      <c r="G73" s="49"/>
      <c r="H73" s="60"/>
      <c r="I73" s="221"/>
      <c r="J73" s="106">
        <f>SUM(J57:J62,J65:J70)</f>
        <v>34411.217152000005</v>
      </c>
      <c r="K73" s="196"/>
    </row>
    <row r="74" spans="2:11" ht="12.75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0" ht="12.75">
      <c r="B76" s="364" t="s">
        <v>59</v>
      </c>
      <c r="C76" s="364"/>
      <c r="D76" s="364"/>
      <c r="E76" s="364"/>
      <c r="F76" s="364"/>
      <c r="G76" s="364"/>
      <c r="H76" s="364"/>
      <c r="I76" s="364"/>
      <c r="J76" s="364"/>
    </row>
    <row r="77" ht="6.75" customHeight="1" thickBot="1"/>
    <row r="78" spans="2:11" ht="12.75">
      <c r="B78" s="37"/>
      <c r="C78" s="51" t="s">
        <v>10</v>
      </c>
      <c r="D78" s="51" t="s">
        <v>11</v>
      </c>
      <c r="E78" s="51" t="s">
        <v>16</v>
      </c>
      <c r="F78" s="51" t="s">
        <v>8</v>
      </c>
      <c r="G78" s="51" t="s">
        <v>8</v>
      </c>
      <c r="H78" s="112" t="s">
        <v>12</v>
      </c>
      <c r="I78" s="35" t="s">
        <v>13</v>
      </c>
      <c r="K78"/>
    </row>
    <row r="79" spans="2:11" ht="12.75">
      <c r="B79" s="38" t="s">
        <v>21</v>
      </c>
      <c r="C79" s="53" t="s">
        <v>32</v>
      </c>
      <c r="D79" s="53" t="s">
        <v>15</v>
      </c>
      <c r="E79" s="57" t="s">
        <v>33</v>
      </c>
      <c r="F79" s="53" t="s">
        <v>18</v>
      </c>
      <c r="G79" s="53" t="s">
        <v>18</v>
      </c>
      <c r="H79" s="113" t="s">
        <v>29</v>
      </c>
      <c r="I79" s="116" t="s">
        <v>20</v>
      </c>
      <c r="K79"/>
    </row>
    <row r="80" spans="2:11" ht="13.5" thickBot="1">
      <c r="B80" s="39"/>
      <c r="C80" s="55" t="s">
        <v>22</v>
      </c>
      <c r="D80" s="55" t="s">
        <v>23</v>
      </c>
      <c r="E80" s="61"/>
      <c r="F80" s="55" t="s">
        <v>32</v>
      </c>
      <c r="G80" s="55" t="s">
        <v>36</v>
      </c>
      <c r="H80" s="114"/>
      <c r="I80" s="36" t="s">
        <v>27</v>
      </c>
      <c r="K80"/>
    </row>
    <row r="81" spans="2:11" ht="13.5" hidden="1" thickBot="1">
      <c r="B81" s="199"/>
      <c r="C81" s="53"/>
      <c r="D81" s="306">
        <v>0.1472</v>
      </c>
      <c r="E81" s="306">
        <v>0.0944</v>
      </c>
      <c r="F81" s="53"/>
      <c r="G81" s="53"/>
      <c r="H81" s="113"/>
      <c r="I81" s="116"/>
      <c r="K81"/>
    </row>
    <row r="82" spans="2:11" ht="12.75">
      <c r="B82" s="65">
        <v>1</v>
      </c>
      <c r="C82" s="104">
        <v>20.83</v>
      </c>
      <c r="D82" s="104">
        <f aca="true" t="shared" si="5" ref="D82:D87">C82*$D$81</f>
        <v>3.0661759999999996</v>
      </c>
      <c r="E82" s="104">
        <f aca="true" t="shared" si="6" ref="E82:E87">C82*$E$81</f>
        <v>1.9663519999999999</v>
      </c>
      <c r="F82" s="104">
        <f aca="true" t="shared" si="7" ref="F82:F87">C82+D82+E82</f>
        <v>25.862527999999998</v>
      </c>
      <c r="G82" s="104">
        <f aca="true" t="shared" si="8" ref="G82:G87">F82*14</f>
        <v>362.07539199999997</v>
      </c>
      <c r="H82" s="65">
        <v>0</v>
      </c>
      <c r="I82" s="117">
        <f aca="true" t="shared" si="9" ref="I82:I87">G82*H82</f>
        <v>0</v>
      </c>
      <c r="J82" s="107"/>
      <c r="K82"/>
    </row>
    <row r="83" spans="2:13" ht="12.75">
      <c r="B83" s="46">
        <v>2</v>
      </c>
      <c r="C83" s="66">
        <v>27.04</v>
      </c>
      <c r="D83" s="66">
        <f t="shared" si="5"/>
        <v>3.980288</v>
      </c>
      <c r="E83" s="66">
        <f t="shared" si="6"/>
        <v>2.5525759999999997</v>
      </c>
      <c r="F83" s="66">
        <f t="shared" si="7"/>
        <v>33.572864</v>
      </c>
      <c r="G83" s="66">
        <f t="shared" si="8"/>
        <v>470.020096</v>
      </c>
      <c r="H83" s="46">
        <v>0</v>
      </c>
      <c r="I83" s="118">
        <f t="shared" si="9"/>
        <v>0</v>
      </c>
      <c r="J83" s="107"/>
      <c r="M83" s="95">
        <f>39*52/12</f>
        <v>169</v>
      </c>
    </row>
    <row r="84" spans="2:11" ht="12.75">
      <c r="B84" s="46">
        <v>3</v>
      </c>
      <c r="C84" s="66">
        <v>29.02</v>
      </c>
      <c r="D84" s="198">
        <f t="shared" si="5"/>
        <v>4.271744</v>
      </c>
      <c r="E84" s="198">
        <f t="shared" si="6"/>
        <v>2.7394879999999997</v>
      </c>
      <c r="F84" s="198">
        <f t="shared" si="7"/>
        <v>36.031232</v>
      </c>
      <c r="G84" s="66">
        <f t="shared" si="8"/>
        <v>504.43724800000007</v>
      </c>
      <c r="H84" s="46">
        <v>4</v>
      </c>
      <c r="I84" s="118">
        <f t="shared" si="9"/>
        <v>2017.7489920000003</v>
      </c>
      <c r="J84" s="107"/>
      <c r="K84"/>
    </row>
    <row r="85" spans="2:11" ht="12.75">
      <c r="B85" s="46">
        <v>4</v>
      </c>
      <c r="C85" s="66">
        <v>33.18</v>
      </c>
      <c r="D85" s="66">
        <f t="shared" si="5"/>
        <v>4.8840959999999995</v>
      </c>
      <c r="E85" s="66">
        <f t="shared" si="6"/>
        <v>3.132192</v>
      </c>
      <c r="F85" s="66">
        <f t="shared" si="7"/>
        <v>41.196287999999996</v>
      </c>
      <c r="G85" s="66">
        <f t="shared" si="8"/>
        <v>576.748032</v>
      </c>
      <c r="H85" s="46">
        <v>26</v>
      </c>
      <c r="I85" s="118">
        <f t="shared" si="9"/>
        <v>14995.448831999998</v>
      </c>
      <c r="J85" s="107"/>
      <c r="K85"/>
    </row>
    <row r="86" spans="2:11" ht="12.75">
      <c r="B86" s="46">
        <v>5</v>
      </c>
      <c r="C86" s="66">
        <v>39.42</v>
      </c>
      <c r="D86" s="198">
        <f t="shared" si="5"/>
        <v>5.802624</v>
      </c>
      <c r="E86" s="198">
        <f t="shared" si="6"/>
        <v>3.721248</v>
      </c>
      <c r="F86" s="198">
        <f t="shared" si="7"/>
        <v>48.943872000000006</v>
      </c>
      <c r="G86" s="66">
        <f t="shared" si="8"/>
        <v>685.2142080000001</v>
      </c>
      <c r="H86" s="46">
        <v>18</v>
      </c>
      <c r="I86" s="118">
        <f t="shared" si="9"/>
        <v>12333.855744000002</v>
      </c>
      <c r="J86" s="107"/>
      <c r="K86"/>
    </row>
    <row r="87" spans="2:11" ht="13.5" thickBot="1">
      <c r="B87" s="47">
        <v>6</v>
      </c>
      <c r="C87" s="63">
        <v>41.5</v>
      </c>
      <c r="D87" s="66">
        <f t="shared" si="5"/>
        <v>6.1088</v>
      </c>
      <c r="E87" s="66">
        <f t="shared" si="6"/>
        <v>3.9175999999999997</v>
      </c>
      <c r="F87" s="66">
        <f t="shared" si="7"/>
        <v>51.5264</v>
      </c>
      <c r="G87" s="66">
        <f t="shared" si="8"/>
        <v>721.3696</v>
      </c>
      <c r="H87" s="47"/>
      <c r="I87" s="119">
        <f t="shared" si="9"/>
        <v>0</v>
      </c>
      <c r="J87" s="107"/>
      <c r="K87"/>
    </row>
    <row r="88" spans="2:11" ht="13.5" thickBot="1">
      <c r="B88" s="48"/>
      <c r="C88" s="219"/>
      <c r="D88" s="219"/>
      <c r="E88" s="219"/>
      <c r="F88" s="219"/>
      <c r="G88" s="219"/>
      <c r="H88" s="221"/>
      <c r="I88" s="224">
        <f>SUM(I82:I87)</f>
        <v>29347.053568000003</v>
      </c>
      <c r="J88" s="107"/>
      <c r="K88"/>
    </row>
    <row r="89" spans="2:11" ht="13.5" thickBot="1">
      <c r="B89" s="48" t="s">
        <v>92</v>
      </c>
      <c r="C89" s="233"/>
      <c r="D89" s="233"/>
      <c r="E89" s="233"/>
      <c r="F89" s="233"/>
      <c r="G89" s="233"/>
      <c r="H89" s="222"/>
      <c r="I89" s="120"/>
      <c r="J89" s="107"/>
      <c r="K89"/>
    </row>
    <row r="90" spans="2:11" ht="12.75">
      <c r="B90" s="48">
        <v>1</v>
      </c>
      <c r="C90" s="104">
        <v>20.83</v>
      </c>
      <c r="D90" s="66">
        <f aca="true" t="shared" si="10" ref="D90:D95">C90*$D$81</f>
        <v>3.0661759999999996</v>
      </c>
      <c r="E90" s="66">
        <f aca="true" t="shared" si="11" ref="E90:E95">C90*$E$81</f>
        <v>1.9663519999999999</v>
      </c>
      <c r="F90" s="66">
        <f aca="true" t="shared" si="12" ref="F90:F95">C90+D90+E90</f>
        <v>25.862527999999998</v>
      </c>
      <c r="G90" s="66">
        <f aca="true" t="shared" si="13" ref="G90:G95">F90*14</f>
        <v>362.07539199999997</v>
      </c>
      <c r="H90" s="49">
        <v>0</v>
      </c>
      <c r="I90" s="118">
        <f aca="true" t="shared" si="14" ref="I90:I95">G90*H90</f>
        <v>0</v>
      </c>
      <c r="J90" s="107"/>
      <c r="K90"/>
    </row>
    <row r="91" spans="2:11" ht="12.75">
      <c r="B91" s="239">
        <v>2</v>
      </c>
      <c r="C91" s="66">
        <v>27.04</v>
      </c>
      <c r="D91" s="66">
        <f t="shared" si="10"/>
        <v>3.980288</v>
      </c>
      <c r="E91" s="66">
        <f t="shared" si="11"/>
        <v>2.5525759999999997</v>
      </c>
      <c r="F91" s="66">
        <f t="shared" si="12"/>
        <v>33.572864</v>
      </c>
      <c r="G91" s="66">
        <f t="shared" si="13"/>
        <v>470.020096</v>
      </c>
      <c r="H91" s="49">
        <v>3</v>
      </c>
      <c r="I91" s="118">
        <f t="shared" si="14"/>
        <v>1410.0602880000001</v>
      </c>
      <c r="J91" s="107"/>
      <c r="K91"/>
    </row>
    <row r="92" spans="2:11" ht="12.75">
      <c r="B92" s="239">
        <v>3</v>
      </c>
      <c r="C92" s="66">
        <v>29.02</v>
      </c>
      <c r="D92" s="198">
        <f t="shared" si="10"/>
        <v>4.271744</v>
      </c>
      <c r="E92" s="198">
        <f t="shared" si="11"/>
        <v>2.7394879999999997</v>
      </c>
      <c r="F92" s="198">
        <f t="shared" si="12"/>
        <v>36.031232</v>
      </c>
      <c r="G92" s="66">
        <f t="shared" si="13"/>
        <v>504.43724800000007</v>
      </c>
      <c r="H92" s="49">
        <v>13</v>
      </c>
      <c r="I92" s="118">
        <f t="shared" si="14"/>
        <v>6557.6842240000005</v>
      </c>
      <c r="J92" s="107"/>
      <c r="K92"/>
    </row>
    <row r="93" spans="2:11" ht="12.75">
      <c r="B93" s="48">
        <v>4</v>
      </c>
      <c r="C93" s="66">
        <v>33.18</v>
      </c>
      <c r="D93" s="66">
        <f t="shared" si="10"/>
        <v>4.8840959999999995</v>
      </c>
      <c r="E93" s="66">
        <f t="shared" si="11"/>
        <v>3.132192</v>
      </c>
      <c r="F93" s="66">
        <f t="shared" si="12"/>
        <v>41.196287999999996</v>
      </c>
      <c r="G93" s="66">
        <f t="shared" si="13"/>
        <v>576.748032</v>
      </c>
      <c r="H93" s="49">
        <v>29</v>
      </c>
      <c r="I93" s="118">
        <f t="shared" si="14"/>
        <v>16725.692928</v>
      </c>
      <c r="J93" s="107"/>
      <c r="K93"/>
    </row>
    <row r="94" spans="2:11" ht="12.75">
      <c r="B94" s="48">
        <v>5</v>
      </c>
      <c r="C94" s="66">
        <v>39.42</v>
      </c>
      <c r="D94" s="198">
        <f t="shared" si="10"/>
        <v>5.802624</v>
      </c>
      <c r="E94" s="198">
        <f t="shared" si="11"/>
        <v>3.721248</v>
      </c>
      <c r="F94" s="198">
        <f t="shared" si="12"/>
        <v>48.943872000000006</v>
      </c>
      <c r="G94" s="66">
        <f t="shared" si="13"/>
        <v>685.2142080000001</v>
      </c>
      <c r="H94" s="49">
        <v>4</v>
      </c>
      <c r="I94" s="118">
        <f t="shared" si="14"/>
        <v>2740.8568320000004</v>
      </c>
      <c r="J94" s="107"/>
      <c r="K94"/>
    </row>
    <row r="95" spans="2:11" ht="13.5" thickBot="1">
      <c r="B95" s="48">
        <v>6</v>
      </c>
      <c r="C95" s="63">
        <v>41.5</v>
      </c>
      <c r="D95" s="66">
        <f t="shared" si="10"/>
        <v>6.1088</v>
      </c>
      <c r="E95" s="66">
        <f t="shared" si="11"/>
        <v>3.9175999999999997</v>
      </c>
      <c r="F95" s="66">
        <f t="shared" si="12"/>
        <v>51.5264</v>
      </c>
      <c r="G95" s="66">
        <f t="shared" si="13"/>
        <v>721.3696</v>
      </c>
      <c r="H95" s="49">
        <v>4</v>
      </c>
      <c r="I95" s="119">
        <f t="shared" si="14"/>
        <v>2885.4784</v>
      </c>
      <c r="J95" s="107"/>
      <c r="K95"/>
    </row>
    <row r="96" spans="2:11" ht="13.5" thickBot="1">
      <c r="B96" s="48"/>
      <c r="C96" s="219"/>
      <c r="D96" s="219"/>
      <c r="E96" s="219"/>
      <c r="F96" s="219"/>
      <c r="G96" s="219"/>
      <c r="H96" s="49"/>
      <c r="I96" s="224">
        <f>SUM(I90:I95)</f>
        <v>30319.772672000003</v>
      </c>
      <c r="J96" s="107"/>
      <c r="K96"/>
    </row>
    <row r="97" spans="2:11" ht="13.5" thickBot="1">
      <c r="B97" s="48"/>
      <c r="C97" s="219"/>
      <c r="D97" s="219"/>
      <c r="E97" s="219"/>
      <c r="F97" s="219"/>
      <c r="G97" s="219"/>
      <c r="H97" s="49"/>
      <c r="I97" s="120"/>
      <c r="J97" s="107"/>
      <c r="K97"/>
    </row>
    <row r="98" spans="2:11" ht="13.5" thickBot="1">
      <c r="B98" s="48" t="s">
        <v>8</v>
      </c>
      <c r="C98" s="49"/>
      <c r="D98" s="49"/>
      <c r="E98" s="49"/>
      <c r="F98" s="49"/>
      <c r="G98" s="49"/>
      <c r="H98" s="221"/>
      <c r="I98" s="106">
        <f>SUM(I82:I87,I90:I95)</f>
        <v>59666.82624000001</v>
      </c>
      <c r="J98" s="108"/>
      <c r="K98"/>
    </row>
    <row r="99" ht="18">
      <c r="K99" s="148" t="s">
        <v>7</v>
      </c>
    </row>
    <row r="100" ht="18">
      <c r="K100" s="147">
        <f>I28+J48+J73+I98</f>
        <v>360976.61688745185</v>
      </c>
    </row>
  </sheetData>
  <mergeCells count="8">
    <mergeCell ref="B76:J76"/>
    <mergeCell ref="B4:J4"/>
    <mergeCell ref="B10:J10"/>
    <mergeCell ref="B31:J31"/>
    <mergeCell ref="B51:J51"/>
    <mergeCell ref="B6:J6"/>
    <mergeCell ref="B7:J7"/>
    <mergeCell ref="B8:J8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tabSelected="1" workbookViewId="0" topLeftCell="B1">
      <selection activeCell="C23" sqref="C23"/>
    </sheetView>
  </sheetViews>
  <sheetFormatPr defaultColWidth="9.140625" defaultRowHeight="12.75"/>
  <cols>
    <col min="1" max="1" width="0" style="9" hidden="1" customWidth="1"/>
    <col min="2" max="2" width="23.28125" style="9" customWidth="1"/>
    <col min="3" max="3" width="22.28125" style="9" customWidth="1"/>
    <col min="4" max="4" width="23.140625" style="9" customWidth="1"/>
    <col min="5" max="5" width="17.7109375" style="9" customWidth="1"/>
    <col min="6" max="6" width="17.140625" style="9" customWidth="1"/>
    <col min="7" max="7" width="11.28125" style="9" bestFit="1" customWidth="1"/>
    <col min="8" max="16384" width="9.140625" style="9" customWidth="1"/>
  </cols>
  <sheetData>
    <row r="1" ht="12.75">
      <c r="B1" s="34" t="s">
        <v>157</v>
      </c>
    </row>
    <row r="4" spans="2:6" ht="18">
      <c r="B4" s="414" t="s">
        <v>158</v>
      </c>
      <c r="C4" s="415"/>
      <c r="D4" s="415"/>
      <c r="E4" s="415"/>
      <c r="F4" s="415"/>
    </row>
    <row r="6" spans="5:6" ht="12.75">
      <c r="E6" s="310"/>
      <c r="F6" s="311"/>
    </row>
    <row r="7" ht="6.75" customHeight="1" thickBot="1"/>
    <row r="8" spans="2:6" ht="12.75">
      <c r="B8" s="325"/>
      <c r="C8" s="326"/>
      <c r="D8" s="333"/>
      <c r="E8" s="337"/>
      <c r="F8" s="346"/>
    </row>
    <row r="9" spans="2:6" ht="12.75">
      <c r="B9" s="327" t="s">
        <v>40</v>
      </c>
      <c r="C9" s="328" t="s">
        <v>160</v>
      </c>
      <c r="D9" s="339" t="s">
        <v>162</v>
      </c>
      <c r="E9" s="340" t="s">
        <v>16</v>
      </c>
      <c r="F9" s="347" t="s">
        <v>7</v>
      </c>
    </row>
    <row r="10" spans="2:6" ht="13.5" thickBot="1">
      <c r="B10" s="329"/>
      <c r="C10" s="330"/>
      <c r="D10" s="335"/>
      <c r="E10" s="338"/>
      <c r="F10" s="348"/>
    </row>
    <row r="11" spans="2:6" ht="13.5" hidden="1" thickBot="1">
      <c r="B11" s="331"/>
      <c r="C11" s="328"/>
      <c r="D11" s="334"/>
      <c r="E11" s="336"/>
      <c r="F11" s="334"/>
    </row>
    <row r="12" spans="2:6" ht="13.5" hidden="1" thickBot="1">
      <c r="B12" s="341"/>
      <c r="C12" s="328"/>
      <c r="D12" s="355">
        <v>0.175</v>
      </c>
      <c r="E12" s="356">
        <v>13.5</v>
      </c>
      <c r="F12" s="334"/>
    </row>
    <row r="13" spans="2:6" ht="25.5" customHeight="1">
      <c r="B13" s="324" t="s">
        <v>159</v>
      </c>
      <c r="C13" s="342">
        <v>12000</v>
      </c>
      <c r="D13" s="344">
        <f>C13*$D$12</f>
        <v>2100</v>
      </c>
      <c r="E13" s="344">
        <f>C13/$E$12</f>
        <v>888.8888888888889</v>
      </c>
      <c r="F13" s="344">
        <f>C13+D13+E13</f>
        <v>14988.888888888889</v>
      </c>
    </row>
    <row r="14" spans="2:6" ht="25.5" customHeight="1">
      <c r="B14" s="332" t="s">
        <v>146</v>
      </c>
      <c r="C14" s="343">
        <v>12000</v>
      </c>
      <c r="D14" s="343">
        <f>C14*$D$12</f>
        <v>2100</v>
      </c>
      <c r="E14" s="343">
        <f>C14/$E$12</f>
        <v>888.8888888888889</v>
      </c>
      <c r="F14" s="343">
        <f>C14+D14+E14</f>
        <v>14988.888888888889</v>
      </c>
    </row>
    <row r="15" spans="2:6" ht="24.75" customHeight="1">
      <c r="B15" s="332" t="s">
        <v>147</v>
      </c>
      <c r="C15" s="343">
        <v>12000</v>
      </c>
      <c r="D15" s="343">
        <f>C15*$D$12</f>
        <v>2100</v>
      </c>
      <c r="E15" s="343">
        <f>C15/$E$12</f>
        <v>888.8888888888889</v>
      </c>
      <c r="F15" s="345">
        <f>C15+D15+E15</f>
        <v>14988.888888888889</v>
      </c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</sheetData>
  <mergeCells count="1">
    <mergeCell ref="B4:F4"/>
  </mergeCells>
  <printOptions horizontalCentered="1"/>
  <pageMargins left="0.7874015748031497" right="0.7480314960629921" top="1.4173228346456694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5"/>
  <sheetViews>
    <sheetView workbookViewId="0" topLeftCell="A14">
      <selection activeCell="A40" sqref="A40:IV40"/>
    </sheetView>
  </sheetViews>
  <sheetFormatPr defaultColWidth="9.140625" defaultRowHeight="12.75"/>
  <cols>
    <col min="1" max="2" width="9.140625" style="9" customWidth="1"/>
    <col min="3" max="3" width="12.57421875" style="9" customWidth="1"/>
    <col min="4" max="4" width="11.00390625" style="9" customWidth="1"/>
    <col min="5" max="5" width="10.8515625" style="9" customWidth="1"/>
    <col min="6" max="7" width="9.140625" style="9" customWidth="1"/>
    <col min="8" max="8" width="12.140625" style="9" customWidth="1"/>
    <col min="9" max="9" width="12.57421875" style="9" customWidth="1"/>
    <col min="10" max="10" width="17.7109375" style="9" customWidth="1"/>
    <col min="11" max="11" width="12.28125" style="9" bestFit="1" customWidth="1"/>
    <col min="12" max="12" width="11.28125" style="9" bestFit="1" customWidth="1"/>
    <col min="13" max="16384" width="9.140625" style="9" customWidth="1"/>
  </cols>
  <sheetData>
    <row r="1" ht="12.75">
      <c r="C1" s="45" t="s">
        <v>49</v>
      </c>
    </row>
    <row r="2" ht="12.75">
      <c r="D2" s="34"/>
    </row>
    <row r="3" ht="13.5" thickBot="1"/>
    <row r="4" spans="3:10" ht="18.75" thickBot="1">
      <c r="C4" s="365" t="s">
        <v>93</v>
      </c>
      <c r="D4" s="366"/>
      <c r="E4" s="366"/>
      <c r="F4" s="366"/>
      <c r="G4" s="366"/>
      <c r="H4" s="366"/>
      <c r="I4" s="366"/>
      <c r="J4" s="77"/>
    </row>
    <row r="5" spans="4:8" ht="12.75">
      <c r="D5" s="10"/>
      <c r="E5" s="10"/>
      <c r="F5" s="10"/>
      <c r="G5" s="10"/>
      <c r="H5" s="10"/>
    </row>
    <row r="6" spans="3:9" ht="12.75">
      <c r="C6" s="367" t="s">
        <v>100</v>
      </c>
      <c r="D6" s="367"/>
      <c r="E6" s="367"/>
      <c r="F6" s="367"/>
      <c r="G6" s="367"/>
      <c r="H6" s="367"/>
      <c r="I6" s="367"/>
    </row>
    <row r="7" ht="12.75">
      <c r="I7" s="310"/>
    </row>
    <row r="8" spans="3:9" ht="12.75">
      <c r="C8" s="364" t="s">
        <v>56</v>
      </c>
      <c r="D8" s="364"/>
      <c r="E8" s="364"/>
      <c r="F8" s="364"/>
      <c r="G8" s="364"/>
      <c r="H8" s="364"/>
      <c r="I8" s="364"/>
    </row>
    <row r="9" ht="6.75" customHeight="1" thickBot="1"/>
    <row r="10" spans="3:10" ht="12.75">
      <c r="C10" s="246" t="s">
        <v>94</v>
      </c>
      <c r="D10" s="51" t="s">
        <v>61</v>
      </c>
      <c r="E10" s="361" t="s">
        <v>97</v>
      </c>
      <c r="F10" s="51" t="s">
        <v>60</v>
      </c>
      <c r="G10" s="50" t="s">
        <v>8</v>
      </c>
      <c r="H10" s="112" t="s">
        <v>12</v>
      </c>
      <c r="I10" s="35" t="s">
        <v>13</v>
      </c>
      <c r="J10" s="11"/>
    </row>
    <row r="11" spans="3:10" ht="12.75">
      <c r="C11" s="247" t="s">
        <v>93</v>
      </c>
      <c r="D11" s="53" t="s">
        <v>95</v>
      </c>
      <c r="E11" s="362"/>
      <c r="F11" s="53" t="s">
        <v>98</v>
      </c>
      <c r="G11" s="52" t="s">
        <v>18</v>
      </c>
      <c r="H11" s="113" t="s">
        <v>29</v>
      </c>
      <c r="I11" s="116" t="s">
        <v>20</v>
      </c>
      <c r="J11" s="11"/>
    </row>
    <row r="12" spans="3:10" ht="32.25" customHeight="1" thickBot="1">
      <c r="C12" s="248" t="s">
        <v>101</v>
      </c>
      <c r="D12" s="249" t="s">
        <v>96</v>
      </c>
      <c r="E12" s="363"/>
      <c r="F12" s="249" t="s">
        <v>99</v>
      </c>
      <c r="G12" s="54"/>
      <c r="H12" s="114"/>
      <c r="I12" s="250" t="s">
        <v>27</v>
      </c>
      <c r="J12" s="11"/>
    </row>
    <row r="13" spans="3:10" ht="13.5" hidden="1" thickBot="1">
      <c r="C13" s="52"/>
      <c r="D13" s="193"/>
      <c r="E13" s="193"/>
      <c r="F13" s="292">
        <v>0.1755</v>
      </c>
      <c r="G13" s="52"/>
      <c r="H13" s="113"/>
      <c r="I13" s="116"/>
      <c r="J13" s="11"/>
    </row>
    <row r="14" spans="3:11" ht="13.5" thickBot="1">
      <c r="C14" s="251">
        <v>360</v>
      </c>
      <c r="D14" s="350">
        <v>7.5</v>
      </c>
      <c r="E14" s="253">
        <f>C14/12*D14</f>
        <v>225</v>
      </c>
      <c r="F14" s="253">
        <f>E14*$F$13</f>
        <v>39.4875</v>
      </c>
      <c r="G14" s="253">
        <f>E14+F14</f>
        <v>264.4875</v>
      </c>
      <c r="H14" s="65">
        <v>712</v>
      </c>
      <c r="I14" s="224">
        <f>G14*H14</f>
        <v>188315.1</v>
      </c>
      <c r="J14" s="11"/>
      <c r="K14" s="74"/>
    </row>
    <row r="15" spans="3:10" ht="12.75">
      <c r="C15" s="11"/>
      <c r="D15" s="11"/>
      <c r="E15" s="11"/>
      <c r="F15" s="11"/>
      <c r="G15" s="11"/>
      <c r="H15" s="11"/>
      <c r="I15" s="11"/>
      <c r="J15" s="11"/>
    </row>
    <row r="16" spans="3:10" ht="12.75">
      <c r="C16" s="11"/>
      <c r="D16" s="11"/>
      <c r="E16" s="11"/>
      <c r="F16" s="11"/>
      <c r="G16" s="11"/>
      <c r="H16" s="11"/>
      <c r="I16" s="11"/>
      <c r="J16" s="11"/>
    </row>
    <row r="17" spans="3:10" ht="12.75">
      <c r="C17" s="364" t="s">
        <v>57</v>
      </c>
      <c r="D17" s="364"/>
      <c r="E17" s="364"/>
      <c r="F17" s="364"/>
      <c r="G17" s="364"/>
      <c r="H17" s="364"/>
      <c r="I17" s="364"/>
      <c r="J17" s="197"/>
    </row>
    <row r="18" ht="6.75" customHeight="1" thickBot="1"/>
    <row r="19" spans="3:9" ht="12.75" customHeight="1">
      <c r="C19" s="246" t="s">
        <v>94</v>
      </c>
      <c r="D19" s="51" t="s">
        <v>61</v>
      </c>
      <c r="E19" s="361" t="s">
        <v>97</v>
      </c>
      <c r="F19" s="51" t="s">
        <v>60</v>
      </c>
      <c r="G19" s="50" t="s">
        <v>8</v>
      </c>
      <c r="H19" s="112" t="s">
        <v>12</v>
      </c>
      <c r="I19" s="35" t="s">
        <v>13</v>
      </c>
    </row>
    <row r="20" spans="3:9" ht="12.75" customHeight="1">
      <c r="C20" s="247" t="s">
        <v>93</v>
      </c>
      <c r="D20" s="53" t="s">
        <v>95</v>
      </c>
      <c r="E20" s="362"/>
      <c r="F20" s="53" t="s">
        <v>98</v>
      </c>
      <c r="G20" s="52" t="s">
        <v>18</v>
      </c>
      <c r="H20" s="113" t="s">
        <v>29</v>
      </c>
      <c r="I20" s="116" t="s">
        <v>20</v>
      </c>
    </row>
    <row r="21" spans="3:9" ht="32.25" customHeight="1" thickBot="1">
      <c r="C21" s="248" t="s">
        <v>101</v>
      </c>
      <c r="D21" s="249" t="s">
        <v>96</v>
      </c>
      <c r="E21" s="363"/>
      <c r="F21" s="249" t="s">
        <v>99</v>
      </c>
      <c r="G21" s="54"/>
      <c r="H21" s="114"/>
      <c r="I21" s="250" t="s">
        <v>27</v>
      </c>
    </row>
    <row r="22" spans="3:9" ht="13.5" customHeight="1" hidden="1" thickBot="1">
      <c r="C22" s="52"/>
      <c r="D22" s="193"/>
      <c r="E22" s="193"/>
      <c r="F22" s="292">
        <v>0.176</v>
      </c>
      <c r="G22" s="52"/>
      <c r="H22" s="113"/>
      <c r="I22" s="116"/>
    </row>
    <row r="23" spans="3:11" ht="13.5" customHeight="1" thickBot="1">
      <c r="C23" s="251">
        <v>360</v>
      </c>
      <c r="D23" s="252">
        <v>12</v>
      </c>
      <c r="E23" s="253">
        <f>C23/12*D23</f>
        <v>360</v>
      </c>
      <c r="F23" s="253">
        <f>E23*$F$22</f>
        <v>63.36</v>
      </c>
      <c r="G23" s="253">
        <f>E23+F23</f>
        <v>423.36</v>
      </c>
      <c r="H23" s="65">
        <v>86</v>
      </c>
      <c r="I23" s="224">
        <f>G23*H23</f>
        <v>36408.96</v>
      </c>
      <c r="K23" s="74"/>
    </row>
    <row r="26" spans="3:10" ht="12.75">
      <c r="C26" s="364" t="s">
        <v>58</v>
      </c>
      <c r="D26" s="364"/>
      <c r="E26" s="364"/>
      <c r="F26" s="364"/>
      <c r="G26" s="364"/>
      <c r="H26" s="364"/>
      <c r="I26" s="364"/>
      <c r="J26" s="197"/>
    </row>
    <row r="27" ht="6.75" customHeight="1" thickBot="1"/>
    <row r="28" spans="3:9" ht="12.75" customHeight="1">
      <c r="C28" s="246" t="s">
        <v>94</v>
      </c>
      <c r="D28" s="51" t="s">
        <v>61</v>
      </c>
      <c r="E28" s="361" t="s">
        <v>97</v>
      </c>
      <c r="F28" s="51" t="s">
        <v>60</v>
      </c>
      <c r="G28" s="50" t="s">
        <v>8</v>
      </c>
      <c r="H28" s="112" t="s">
        <v>12</v>
      </c>
      <c r="I28" s="35" t="s">
        <v>13</v>
      </c>
    </row>
    <row r="29" spans="3:9" ht="12.75" customHeight="1">
      <c r="C29" s="247" t="s">
        <v>93</v>
      </c>
      <c r="D29" s="53" t="s">
        <v>95</v>
      </c>
      <c r="E29" s="362"/>
      <c r="F29" s="53" t="s">
        <v>98</v>
      </c>
      <c r="G29" s="52" t="s">
        <v>18</v>
      </c>
      <c r="H29" s="113" t="s">
        <v>29</v>
      </c>
      <c r="I29" s="116" t="s">
        <v>20</v>
      </c>
    </row>
    <row r="30" spans="3:9" ht="32.25" customHeight="1" thickBot="1">
      <c r="C30" s="248" t="s">
        <v>101</v>
      </c>
      <c r="D30" s="249" t="s">
        <v>96</v>
      </c>
      <c r="E30" s="363"/>
      <c r="F30" s="249" t="s">
        <v>99</v>
      </c>
      <c r="G30" s="54"/>
      <c r="H30" s="114"/>
      <c r="I30" s="250" t="s">
        <v>27</v>
      </c>
    </row>
    <row r="31" spans="3:9" ht="13.5" customHeight="1" hidden="1" thickBot="1">
      <c r="C31" s="52"/>
      <c r="D31" s="193"/>
      <c r="E31" s="193"/>
      <c r="F31" s="292">
        <v>0.2416</v>
      </c>
      <c r="G31" s="52"/>
      <c r="H31" s="113"/>
      <c r="I31" s="116"/>
    </row>
    <row r="32" spans="3:9" ht="13.5" customHeight="1" thickBot="1">
      <c r="C32" s="251">
        <v>360</v>
      </c>
      <c r="D32" s="252">
        <v>11</v>
      </c>
      <c r="E32" s="253">
        <f>C32/12*D32</f>
        <v>330</v>
      </c>
      <c r="F32" s="253">
        <f>E32*$F$31</f>
        <v>79.72800000000001</v>
      </c>
      <c r="G32" s="253">
        <f>E32+F32</f>
        <v>409.728</v>
      </c>
      <c r="H32" s="65">
        <v>63</v>
      </c>
      <c r="I32" s="224">
        <f>G32*H32</f>
        <v>25812.864</v>
      </c>
    </row>
    <row r="33" spans="3:10" ht="12.75">
      <c r="C33" s="11"/>
      <c r="D33" s="11"/>
      <c r="E33" s="11"/>
      <c r="F33" s="11"/>
      <c r="G33" s="11"/>
      <c r="H33" s="11"/>
      <c r="I33" s="11"/>
      <c r="J33" s="11"/>
    </row>
    <row r="34" spans="3:10" ht="12.75">
      <c r="C34" s="11"/>
      <c r="D34" s="11"/>
      <c r="E34" s="11"/>
      <c r="F34" s="11"/>
      <c r="G34" s="11"/>
      <c r="H34" s="11"/>
      <c r="I34" s="11"/>
      <c r="J34" s="11"/>
    </row>
    <row r="35" spans="3:9" ht="12.75">
      <c r="C35" s="364" t="s">
        <v>59</v>
      </c>
      <c r="D35" s="364"/>
      <c r="E35" s="364"/>
      <c r="F35" s="364"/>
      <c r="G35" s="364"/>
      <c r="H35" s="364"/>
      <c r="I35" s="364"/>
    </row>
    <row r="36" ht="6.75" customHeight="1" thickBot="1"/>
    <row r="37" spans="3:10" ht="12.75" customHeight="1">
      <c r="C37" s="246" t="s">
        <v>94</v>
      </c>
      <c r="D37" s="51" t="s">
        <v>61</v>
      </c>
      <c r="E37" s="361" t="s">
        <v>97</v>
      </c>
      <c r="F37" s="51" t="s">
        <v>60</v>
      </c>
      <c r="G37" s="50" t="s">
        <v>8</v>
      </c>
      <c r="H37" s="112" t="s">
        <v>12</v>
      </c>
      <c r="I37" s="35" t="s">
        <v>13</v>
      </c>
      <c r="J37" s="254"/>
    </row>
    <row r="38" spans="3:10" ht="12.75" customHeight="1">
      <c r="C38" s="247" t="s">
        <v>93</v>
      </c>
      <c r="D38" s="53" t="s">
        <v>95</v>
      </c>
      <c r="E38" s="362"/>
      <c r="F38" s="53" t="s">
        <v>98</v>
      </c>
      <c r="G38" s="52" t="s">
        <v>18</v>
      </c>
      <c r="H38" s="113" t="s">
        <v>29</v>
      </c>
      <c r="I38" s="116" t="s">
        <v>20</v>
      </c>
      <c r="J38" s="255"/>
    </row>
    <row r="39" spans="3:9" ht="32.25" customHeight="1" thickBot="1">
      <c r="C39" s="248" t="s">
        <v>102</v>
      </c>
      <c r="D39" s="249" t="s">
        <v>96</v>
      </c>
      <c r="E39" s="363"/>
      <c r="F39" s="249" t="s">
        <v>99</v>
      </c>
      <c r="G39" s="54"/>
      <c r="H39" s="114"/>
      <c r="I39" s="250" t="s">
        <v>27</v>
      </c>
    </row>
    <row r="40" spans="3:9" ht="13.5" hidden="1" thickBot="1">
      <c r="C40" s="52"/>
      <c r="D40" s="193"/>
      <c r="E40" s="193"/>
      <c r="F40" s="292">
        <v>0.2416</v>
      </c>
      <c r="G40" s="52"/>
      <c r="H40" s="113"/>
      <c r="I40" s="116"/>
    </row>
    <row r="41" spans="3:9" ht="13.5" thickBot="1">
      <c r="C41" s="251">
        <v>360</v>
      </c>
      <c r="D41" s="252">
        <v>12</v>
      </c>
      <c r="E41" s="253">
        <f>C41/12*D41</f>
        <v>360</v>
      </c>
      <c r="F41" s="253">
        <f>E41*$F$40</f>
        <v>86.976</v>
      </c>
      <c r="G41" s="253">
        <f>E41+F41</f>
        <v>446.976</v>
      </c>
      <c r="H41" s="65">
        <v>103</v>
      </c>
      <c r="I41" s="224">
        <f>G41*H41</f>
        <v>46038.528</v>
      </c>
    </row>
    <row r="44" ht="18">
      <c r="I44" s="148" t="s">
        <v>7</v>
      </c>
    </row>
    <row r="45" ht="15">
      <c r="I45" s="256">
        <f>I14+I23+I32+I41</f>
        <v>296575.452</v>
      </c>
    </row>
  </sheetData>
  <mergeCells count="10">
    <mergeCell ref="C4:I4"/>
    <mergeCell ref="C6:I6"/>
    <mergeCell ref="C8:I8"/>
    <mergeCell ref="C17:I17"/>
    <mergeCell ref="E10:E12"/>
    <mergeCell ref="E19:E21"/>
    <mergeCell ref="E28:E30"/>
    <mergeCell ref="E37:E39"/>
    <mergeCell ref="C26:I26"/>
    <mergeCell ref="C35:I35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5"/>
  <sheetViews>
    <sheetView workbookViewId="0" topLeftCell="A10">
      <selection activeCell="A40" sqref="A40:IV40"/>
    </sheetView>
  </sheetViews>
  <sheetFormatPr defaultColWidth="9.140625" defaultRowHeight="12.75"/>
  <cols>
    <col min="1" max="2" width="9.140625" style="9" customWidth="1"/>
    <col min="3" max="3" width="12.57421875" style="9" customWidth="1"/>
    <col min="4" max="4" width="11.00390625" style="9" customWidth="1"/>
    <col min="5" max="5" width="10.8515625" style="9" customWidth="1"/>
    <col min="6" max="7" width="9.140625" style="9" customWidth="1"/>
    <col min="8" max="8" width="12.140625" style="9" customWidth="1"/>
    <col min="9" max="9" width="12.57421875" style="9" customWidth="1"/>
    <col min="10" max="10" width="17.7109375" style="9" customWidth="1"/>
    <col min="11" max="11" width="12.28125" style="9" bestFit="1" customWidth="1"/>
    <col min="12" max="12" width="11.28125" style="9" bestFit="1" customWidth="1"/>
    <col min="13" max="16384" width="9.140625" style="9" customWidth="1"/>
  </cols>
  <sheetData>
    <row r="1" ht="12.75">
      <c r="C1" s="45" t="s">
        <v>50</v>
      </c>
    </row>
    <row r="2" ht="12.75">
      <c r="D2" s="34"/>
    </row>
    <row r="3" ht="13.5" thickBot="1"/>
    <row r="4" spans="3:10" ht="18.75" thickBot="1">
      <c r="C4" s="365" t="s">
        <v>93</v>
      </c>
      <c r="D4" s="366"/>
      <c r="E4" s="366"/>
      <c r="F4" s="366"/>
      <c r="G4" s="366"/>
      <c r="H4" s="366"/>
      <c r="I4" s="366"/>
      <c r="J4" s="77"/>
    </row>
    <row r="5" spans="4:8" ht="12.75">
      <c r="D5" s="10"/>
      <c r="E5" s="10"/>
      <c r="F5" s="10"/>
      <c r="G5" s="10"/>
      <c r="H5" s="10"/>
    </row>
    <row r="6" spans="3:9" ht="12.75">
      <c r="C6" s="367" t="s">
        <v>163</v>
      </c>
      <c r="D6" s="367"/>
      <c r="E6" s="367"/>
      <c r="F6" s="367"/>
      <c r="G6" s="367"/>
      <c r="H6" s="367"/>
      <c r="I6" s="367"/>
    </row>
    <row r="7" ht="12.75">
      <c r="I7" s="310"/>
    </row>
    <row r="8" spans="3:9" ht="12.75">
      <c r="C8" s="364" t="s">
        <v>56</v>
      </c>
      <c r="D8" s="364"/>
      <c r="E8" s="364"/>
      <c r="F8" s="364"/>
      <c r="G8" s="364"/>
      <c r="H8" s="364"/>
      <c r="I8" s="364"/>
    </row>
    <row r="9" ht="6.75" customHeight="1" thickBot="1"/>
    <row r="10" spans="3:10" ht="12.75">
      <c r="C10" s="246" t="s">
        <v>94</v>
      </c>
      <c r="D10" s="51" t="s">
        <v>61</v>
      </c>
      <c r="E10" s="361" t="s">
        <v>97</v>
      </c>
      <c r="F10" s="51" t="s">
        <v>60</v>
      </c>
      <c r="G10" s="50" t="s">
        <v>8</v>
      </c>
      <c r="H10" s="112" t="s">
        <v>12</v>
      </c>
      <c r="I10" s="35" t="s">
        <v>13</v>
      </c>
      <c r="J10" s="11"/>
    </row>
    <row r="11" spans="3:10" ht="12.75">
      <c r="C11" s="247" t="s">
        <v>93</v>
      </c>
      <c r="D11" s="53" t="s">
        <v>95</v>
      </c>
      <c r="E11" s="362"/>
      <c r="F11" s="53" t="s">
        <v>98</v>
      </c>
      <c r="G11" s="52" t="s">
        <v>18</v>
      </c>
      <c r="H11" s="113" t="s">
        <v>29</v>
      </c>
      <c r="I11" s="116" t="s">
        <v>20</v>
      </c>
      <c r="J11" s="11"/>
    </row>
    <row r="12" spans="3:10" ht="32.25" customHeight="1" thickBot="1">
      <c r="C12" s="248" t="s">
        <v>101</v>
      </c>
      <c r="D12" s="249" t="s">
        <v>96</v>
      </c>
      <c r="E12" s="363"/>
      <c r="F12" s="249" t="s">
        <v>99</v>
      </c>
      <c r="G12" s="54"/>
      <c r="H12" s="114"/>
      <c r="I12" s="250" t="s">
        <v>27</v>
      </c>
      <c r="J12" s="11"/>
    </row>
    <row r="13" spans="3:10" ht="13.5" hidden="1" thickBot="1">
      <c r="C13" s="52"/>
      <c r="D13" s="193"/>
      <c r="E13" s="193"/>
      <c r="F13" s="292">
        <v>0.1755</v>
      </c>
      <c r="G13" s="52"/>
      <c r="H13" s="113"/>
      <c r="I13" s="116"/>
      <c r="J13" s="11"/>
    </row>
    <row r="14" spans="3:11" ht="13.5" thickBot="1">
      <c r="C14" s="349">
        <v>500</v>
      </c>
      <c r="D14" s="350">
        <v>7.5</v>
      </c>
      <c r="E14" s="253">
        <f>C14/12*D14</f>
        <v>312.5</v>
      </c>
      <c r="F14" s="253">
        <f>E14*$F$13</f>
        <v>54.84375</v>
      </c>
      <c r="G14" s="253">
        <f>E14+F14</f>
        <v>367.34375</v>
      </c>
      <c r="H14" s="65">
        <v>712</v>
      </c>
      <c r="I14" s="224">
        <f>G14*H14</f>
        <v>261548.75</v>
      </c>
      <c r="J14" s="11"/>
      <c r="K14" s="74"/>
    </row>
    <row r="15" spans="3:10" ht="12.75">
      <c r="C15" s="11"/>
      <c r="D15" s="11"/>
      <c r="E15" s="11"/>
      <c r="F15" s="11"/>
      <c r="G15" s="11"/>
      <c r="H15" s="11"/>
      <c r="I15" s="11"/>
      <c r="J15" s="11"/>
    </row>
    <row r="16" spans="3:10" ht="12.75">
      <c r="C16" s="11"/>
      <c r="D16" s="11"/>
      <c r="E16" s="11"/>
      <c r="F16" s="11"/>
      <c r="G16" s="11"/>
      <c r="H16" s="11"/>
      <c r="I16" s="11"/>
      <c r="J16" s="11"/>
    </row>
    <row r="17" spans="3:10" ht="12.75">
      <c r="C17" s="364" t="s">
        <v>57</v>
      </c>
      <c r="D17" s="364"/>
      <c r="E17" s="364"/>
      <c r="F17" s="364"/>
      <c r="G17" s="364"/>
      <c r="H17" s="364"/>
      <c r="I17" s="364"/>
      <c r="J17" s="197"/>
    </row>
    <row r="18" ht="6.75" customHeight="1" thickBot="1"/>
    <row r="19" spans="3:9" ht="12.75" customHeight="1">
      <c r="C19" s="246" t="s">
        <v>94</v>
      </c>
      <c r="D19" s="51" t="s">
        <v>61</v>
      </c>
      <c r="E19" s="361" t="s">
        <v>97</v>
      </c>
      <c r="F19" s="51" t="s">
        <v>60</v>
      </c>
      <c r="G19" s="50" t="s">
        <v>8</v>
      </c>
      <c r="H19" s="112" t="s">
        <v>12</v>
      </c>
      <c r="I19" s="35" t="s">
        <v>13</v>
      </c>
    </row>
    <row r="20" spans="3:9" ht="12.75" customHeight="1">
      <c r="C20" s="247" t="s">
        <v>93</v>
      </c>
      <c r="D20" s="53" t="s">
        <v>95</v>
      </c>
      <c r="E20" s="362"/>
      <c r="F20" s="53" t="s">
        <v>98</v>
      </c>
      <c r="G20" s="52" t="s">
        <v>18</v>
      </c>
      <c r="H20" s="113" t="s">
        <v>29</v>
      </c>
      <c r="I20" s="116" t="s">
        <v>20</v>
      </c>
    </row>
    <row r="21" spans="3:9" ht="32.25" customHeight="1" thickBot="1">
      <c r="C21" s="248" t="s">
        <v>101</v>
      </c>
      <c r="D21" s="249" t="s">
        <v>96</v>
      </c>
      <c r="E21" s="363"/>
      <c r="F21" s="249" t="s">
        <v>99</v>
      </c>
      <c r="G21" s="54"/>
      <c r="H21" s="114"/>
      <c r="I21" s="250" t="s">
        <v>27</v>
      </c>
    </row>
    <row r="22" spans="3:9" ht="13.5" customHeight="1" hidden="1" thickBot="1">
      <c r="C22" s="52"/>
      <c r="D22" s="193"/>
      <c r="E22" s="193"/>
      <c r="F22" s="292">
        <v>0.176</v>
      </c>
      <c r="G22" s="52"/>
      <c r="H22" s="113"/>
      <c r="I22" s="116"/>
    </row>
    <row r="23" spans="3:11" ht="13.5" customHeight="1" thickBot="1">
      <c r="C23" s="349">
        <v>500</v>
      </c>
      <c r="D23" s="252">
        <v>12</v>
      </c>
      <c r="E23" s="253">
        <f>C23/12*D23</f>
        <v>500</v>
      </c>
      <c r="F23" s="253">
        <f>E23*$F$22</f>
        <v>88</v>
      </c>
      <c r="G23" s="253">
        <f>E23+F23</f>
        <v>588</v>
      </c>
      <c r="H23" s="65">
        <v>86</v>
      </c>
      <c r="I23" s="224">
        <f>G23*H23</f>
        <v>50568</v>
      </c>
      <c r="K23" s="74"/>
    </row>
    <row r="26" spans="3:10" ht="12.75">
      <c r="C26" s="364" t="s">
        <v>58</v>
      </c>
      <c r="D26" s="364"/>
      <c r="E26" s="364"/>
      <c r="F26" s="364"/>
      <c r="G26" s="364"/>
      <c r="H26" s="364"/>
      <c r="I26" s="364"/>
      <c r="J26" s="197"/>
    </row>
    <row r="27" ht="6.75" customHeight="1" thickBot="1"/>
    <row r="28" spans="3:9" ht="12.75" customHeight="1">
      <c r="C28" s="246" t="s">
        <v>94</v>
      </c>
      <c r="D28" s="51" t="s">
        <v>61</v>
      </c>
      <c r="E28" s="361" t="s">
        <v>97</v>
      </c>
      <c r="F28" s="51" t="s">
        <v>60</v>
      </c>
      <c r="G28" s="50" t="s">
        <v>8</v>
      </c>
      <c r="H28" s="112" t="s">
        <v>12</v>
      </c>
      <c r="I28" s="35" t="s">
        <v>13</v>
      </c>
    </row>
    <row r="29" spans="3:9" ht="12.75" customHeight="1">
      <c r="C29" s="247" t="s">
        <v>93</v>
      </c>
      <c r="D29" s="53" t="s">
        <v>95</v>
      </c>
      <c r="E29" s="362"/>
      <c r="F29" s="53" t="s">
        <v>98</v>
      </c>
      <c r="G29" s="52" t="s">
        <v>18</v>
      </c>
      <c r="H29" s="113" t="s">
        <v>29</v>
      </c>
      <c r="I29" s="116" t="s">
        <v>20</v>
      </c>
    </row>
    <row r="30" spans="3:9" ht="32.25" customHeight="1" thickBot="1">
      <c r="C30" s="248" t="s">
        <v>101</v>
      </c>
      <c r="D30" s="249" t="s">
        <v>96</v>
      </c>
      <c r="E30" s="363"/>
      <c r="F30" s="249" t="s">
        <v>99</v>
      </c>
      <c r="G30" s="54"/>
      <c r="H30" s="114"/>
      <c r="I30" s="250" t="s">
        <v>27</v>
      </c>
    </row>
    <row r="31" spans="3:9" ht="13.5" customHeight="1" hidden="1" thickBot="1">
      <c r="C31" s="52"/>
      <c r="D31" s="193"/>
      <c r="E31" s="193"/>
      <c r="F31" s="292">
        <v>0.2416</v>
      </c>
      <c r="G31" s="52"/>
      <c r="H31" s="113"/>
      <c r="I31" s="116"/>
    </row>
    <row r="32" spans="3:9" ht="13.5" customHeight="1" thickBot="1">
      <c r="C32" s="349">
        <v>500</v>
      </c>
      <c r="D32" s="252">
        <v>11</v>
      </c>
      <c r="E32" s="253">
        <f>C32/12*D32</f>
        <v>458.3333333333333</v>
      </c>
      <c r="F32" s="253">
        <f>E32*$F$31</f>
        <v>110.73333333333333</v>
      </c>
      <c r="G32" s="253">
        <f>E32+F32</f>
        <v>569.0666666666666</v>
      </c>
      <c r="H32" s="65">
        <v>63</v>
      </c>
      <c r="I32" s="224">
        <f>G32*H32</f>
        <v>35851.2</v>
      </c>
    </row>
    <row r="33" spans="3:10" ht="12.75">
      <c r="C33" s="11"/>
      <c r="D33" s="11"/>
      <c r="E33" s="11"/>
      <c r="F33" s="11"/>
      <c r="G33" s="11"/>
      <c r="H33" s="11"/>
      <c r="I33" s="11"/>
      <c r="J33" s="11"/>
    </row>
    <row r="34" spans="3:10" ht="12.75">
      <c r="C34" s="11"/>
      <c r="D34" s="11"/>
      <c r="E34" s="11"/>
      <c r="F34" s="11"/>
      <c r="G34" s="11"/>
      <c r="H34" s="11"/>
      <c r="I34" s="11"/>
      <c r="J34" s="11"/>
    </row>
    <row r="35" spans="3:9" ht="12.75">
      <c r="C35" s="364" t="s">
        <v>59</v>
      </c>
      <c r="D35" s="364"/>
      <c r="E35" s="364"/>
      <c r="F35" s="364"/>
      <c r="G35" s="364"/>
      <c r="H35" s="364"/>
      <c r="I35" s="364"/>
    </row>
    <row r="36" ht="6.75" customHeight="1" thickBot="1"/>
    <row r="37" spans="3:10" ht="12.75" customHeight="1">
      <c r="C37" s="246" t="s">
        <v>94</v>
      </c>
      <c r="D37" s="51" t="s">
        <v>61</v>
      </c>
      <c r="E37" s="361" t="s">
        <v>97</v>
      </c>
      <c r="F37" s="51" t="s">
        <v>60</v>
      </c>
      <c r="G37" s="50" t="s">
        <v>8</v>
      </c>
      <c r="H37" s="112" t="s">
        <v>12</v>
      </c>
      <c r="I37" s="35" t="s">
        <v>13</v>
      </c>
      <c r="J37" s="254"/>
    </row>
    <row r="38" spans="3:10" ht="12.75" customHeight="1">
      <c r="C38" s="247" t="s">
        <v>93</v>
      </c>
      <c r="D38" s="53" t="s">
        <v>95</v>
      </c>
      <c r="E38" s="362"/>
      <c r="F38" s="53" t="s">
        <v>98</v>
      </c>
      <c r="G38" s="52" t="s">
        <v>18</v>
      </c>
      <c r="H38" s="113" t="s">
        <v>29</v>
      </c>
      <c r="I38" s="116" t="s">
        <v>20</v>
      </c>
      <c r="J38" s="255"/>
    </row>
    <row r="39" spans="3:9" ht="32.25" customHeight="1" thickBot="1">
      <c r="C39" s="248" t="s">
        <v>102</v>
      </c>
      <c r="D39" s="249" t="s">
        <v>96</v>
      </c>
      <c r="E39" s="363"/>
      <c r="F39" s="249" t="s">
        <v>99</v>
      </c>
      <c r="G39" s="54"/>
      <c r="H39" s="114"/>
      <c r="I39" s="250" t="s">
        <v>27</v>
      </c>
    </row>
    <row r="40" spans="3:9" ht="13.5" hidden="1" thickBot="1">
      <c r="C40" s="52"/>
      <c r="D40" s="193"/>
      <c r="E40" s="193"/>
      <c r="F40" s="292">
        <v>0.2416</v>
      </c>
      <c r="G40" s="52"/>
      <c r="H40" s="113"/>
      <c r="I40" s="116"/>
    </row>
    <row r="41" spans="3:9" ht="13.5" thickBot="1">
      <c r="C41" s="349">
        <v>500</v>
      </c>
      <c r="D41" s="252">
        <v>12</v>
      </c>
      <c r="E41" s="253">
        <f>C41/12*D41</f>
        <v>500</v>
      </c>
      <c r="F41" s="253">
        <f>E41*$F$40</f>
        <v>120.80000000000001</v>
      </c>
      <c r="G41" s="253">
        <f>E41+F41</f>
        <v>620.8</v>
      </c>
      <c r="H41" s="65">
        <v>103</v>
      </c>
      <c r="I41" s="224">
        <f>G41*H41</f>
        <v>63942.399999999994</v>
      </c>
    </row>
    <row r="44" ht="18">
      <c r="I44" s="148" t="s">
        <v>7</v>
      </c>
    </row>
    <row r="45" ht="15">
      <c r="I45" s="256">
        <f>I14+I23+I32+I41</f>
        <v>411910.35</v>
      </c>
    </row>
  </sheetData>
  <mergeCells count="10">
    <mergeCell ref="E19:E21"/>
    <mergeCell ref="E28:E30"/>
    <mergeCell ref="E37:E39"/>
    <mergeCell ref="C26:I26"/>
    <mergeCell ref="C35:I35"/>
    <mergeCell ref="C4:I4"/>
    <mergeCell ref="C6:I6"/>
    <mergeCell ref="C8:I8"/>
    <mergeCell ref="C17:I17"/>
    <mergeCell ref="E10:E12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4"/>
  <sheetViews>
    <sheetView zoomScale="80" zoomScaleNormal="80" workbookViewId="0" topLeftCell="A7">
      <selection activeCell="K22" sqref="K22"/>
    </sheetView>
  </sheetViews>
  <sheetFormatPr defaultColWidth="9.140625" defaultRowHeight="12.75"/>
  <cols>
    <col min="1" max="1" width="7.8515625" style="0" customWidth="1"/>
    <col min="3" max="3" width="8.28125" style="0" customWidth="1"/>
    <col min="4" max="4" width="8.140625" style="0" customWidth="1"/>
    <col min="5" max="5" width="17.7109375" style="0" customWidth="1"/>
    <col min="6" max="6" width="12.7109375" style="0" hidden="1" customWidth="1"/>
    <col min="7" max="7" width="18.7109375" style="0" hidden="1" customWidth="1"/>
    <col min="8" max="8" width="12.57421875" style="0" hidden="1" customWidth="1"/>
    <col min="9" max="9" width="15.57421875" style="0" hidden="1" customWidth="1"/>
    <col min="10" max="10" width="9.8515625" style="0" hidden="1" customWidth="1"/>
    <col min="11" max="12" width="16.7109375" style="0" customWidth="1"/>
    <col min="13" max="13" width="11.8515625" style="0" hidden="1" customWidth="1"/>
    <col min="14" max="14" width="12.00390625" style="0" customWidth="1"/>
    <col min="15" max="15" width="8.28125" style="0" hidden="1" customWidth="1"/>
    <col min="16" max="16" width="14.00390625" style="0" customWidth="1"/>
    <col min="17" max="18" width="13.7109375" style="0" customWidth="1"/>
    <col min="19" max="19" width="17.57421875" style="0" customWidth="1"/>
    <col min="20" max="20" width="15.421875" style="0" hidden="1" customWidth="1"/>
  </cols>
  <sheetData>
    <row r="2" ht="18">
      <c r="B2" s="43" t="s">
        <v>51</v>
      </c>
    </row>
    <row r="4" ht="13.5" thickBot="1"/>
    <row r="5" spans="1:20" ht="24" thickBot="1">
      <c r="A5" s="387" t="s">
        <v>113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75"/>
    </row>
    <row r="6" spans="1:20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8" spans="1:20" ht="18">
      <c r="A8" s="386" t="s">
        <v>81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89"/>
    </row>
    <row r="9" spans="1:20" ht="18">
      <c r="A9" s="386" t="s">
        <v>82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89"/>
    </row>
    <row r="10" spans="1:19" ht="18">
      <c r="A10" s="386" t="s">
        <v>83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</row>
    <row r="11" spans="17:23" ht="13.5" thickBot="1">
      <c r="Q11" s="268"/>
      <c r="R11" s="268"/>
      <c r="S11" s="268"/>
      <c r="T11" s="268"/>
      <c r="U11" s="268"/>
      <c r="V11" s="268"/>
      <c r="W11" s="268"/>
    </row>
    <row r="12" spans="1:19" ht="75.75" customHeight="1" thickBot="1">
      <c r="A12" s="376" t="s">
        <v>39</v>
      </c>
      <c r="B12" s="377"/>
      <c r="C12" s="378" t="s">
        <v>40</v>
      </c>
      <c r="D12" s="379"/>
      <c r="E12" s="32" t="s">
        <v>69</v>
      </c>
      <c r="F12" s="31"/>
      <c r="G12" s="32" t="s">
        <v>67</v>
      </c>
      <c r="H12" s="31"/>
      <c r="I12" s="32" t="s">
        <v>68</v>
      </c>
      <c r="J12" s="94"/>
      <c r="K12" s="31" t="s">
        <v>66</v>
      </c>
      <c r="L12" s="127" t="s">
        <v>112</v>
      </c>
      <c r="M12" s="31"/>
      <c r="N12" s="32" t="s">
        <v>16</v>
      </c>
      <c r="O12" s="31"/>
      <c r="P12" s="32" t="s">
        <v>154</v>
      </c>
      <c r="Q12" s="131" t="s">
        <v>155</v>
      </c>
      <c r="R12" s="132" t="s">
        <v>156</v>
      </c>
      <c r="S12" s="124" t="s">
        <v>41</v>
      </c>
    </row>
    <row r="13" spans="1:19" ht="26.25" customHeight="1" hidden="1" thickBot="1">
      <c r="A13" s="384"/>
      <c r="B13" s="385"/>
      <c r="C13" s="385"/>
      <c r="D13" s="378"/>
      <c r="E13" s="258"/>
      <c r="F13" s="257"/>
      <c r="G13" s="258"/>
      <c r="H13" s="257"/>
      <c r="I13" s="258"/>
      <c r="J13" s="26"/>
      <c r="K13" s="257"/>
      <c r="L13" s="293">
        <v>0.176</v>
      </c>
      <c r="M13" s="257"/>
      <c r="N13" s="301">
        <v>13.5</v>
      </c>
      <c r="O13" s="257"/>
      <c r="P13" s="258"/>
      <c r="Q13" s="269"/>
      <c r="R13" s="270"/>
      <c r="S13" s="271"/>
    </row>
    <row r="14" spans="1:20" ht="31.5" customHeight="1">
      <c r="A14" s="368" t="s">
        <v>114</v>
      </c>
      <c r="B14" s="369"/>
      <c r="C14" s="380" t="s">
        <v>105</v>
      </c>
      <c r="D14" s="381"/>
      <c r="E14" s="128">
        <v>180</v>
      </c>
      <c r="F14" s="24"/>
      <c r="G14" s="128">
        <v>0</v>
      </c>
      <c r="H14" s="24"/>
      <c r="I14" s="128">
        <f>E14-G14</f>
        <v>180</v>
      </c>
      <c r="J14" s="24"/>
      <c r="K14" s="128">
        <f aca="true" t="shared" si="0" ref="K14:K25">E14*2/12</f>
        <v>30</v>
      </c>
      <c r="L14" s="128">
        <f aca="true" t="shared" si="1" ref="L14:L25">K14*$L$13</f>
        <v>5.279999999999999</v>
      </c>
      <c r="M14" s="24"/>
      <c r="N14" s="128">
        <f aca="true" t="shared" si="2" ref="N14:N25">K14/$N$13</f>
        <v>2.2222222222222223</v>
      </c>
      <c r="O14" s="24"/>
      <c r="P14" s="273">
        <f aca="true" t="shared" si="3" ref="P14:P25">K14+L14+N14</f>
        <v>37.50222222222222</v>
      </c>
      <c r="Q14" s="314">
        <f aca="true" t="shared" si="4" ref="Q14:Q25">P14/20</f>
        <v>1.8751111111111112</v>
      </c>
      <c r="R14" s="129">
        <v>584</v>
      </c>
      <c r="S14" s="133">
        <f>Q14*R14</f>
        <v>1095.0648888888888</v>
      </c>
      <c r="T14" s="33"/>
    </row>
    <row r="15" spans="1:20" ht="31.5" customHeight="1">
      <c r="A15" s="370"/>
      <c r="B15" s="371"/>
      <c r="C15" s="382" t="s">
        <v>106</v>
      </c>
      <c r="D15" s="382"/>
      <c r="E15" s="128">
        <v>180</v>
      </c>
      <c r="F15" s="24"/>
      <c r="G15" s="128">
        <v>0</v>
      </c>
      <c r="H15" s="24"/>
      <c r="I15" s="128">
        <f>E15-G15</f>
        <v>180</v>
      </c>
      <c r="J15" s="24"/>
      <c r="K15" s="128">
        <f t="shared" si="0"/>
        <v>30</v>
      </c>
      <c r="L15" s="128">
        <f t="shared" si="1"/>
        <v>5.279999999999999</v>
      </c>
      <c r="M15" s="24"/>
      <c r="N15" s="128">
        <f t="shared" si="2"/>
        <v>2.2222222222222223</v>
      </c>
      <c r="O15" s="24"/>
      <c r="P15" s="273">
        <f t="shared" si="3"/>
        <v>37.50222222222222</v>
      </c>
      <c r="Q15" s="315">
        <f t="shared" si="4"/>
        <v>1.8751111111111112</v>
      </c>
      <c r="R15" s="129">
        <v>584</v>
      </c>
      <c r="S15" s="133">
        <f>Q15*R15</f>
        <v>1095.0648888888888</v>
      </c>
      <c r="T15" s="33"/>
    </row>
    <row r="16" spans="1:20" ht="31.5" customHeight="1" thickBot="1">
      <c r="A16" s="351"/>
      <c r="B16" s="352"/>
      <c r="C16" s="383" t="s">
        <v>107</v>
      </c>
      <c r="D16" s="383"/>
      <c r="E16" s="174">
        <v>180</v>
      </c>
      <c r="F16" s="175"/>
      <c r="G16" s="175"/>
      <c r="H16" s="175"/>
      <c r="I16" s="175"/>
      <c r="J16" s="175"/>
      <c r="K16" s="272">
        <f t="shared" si="0"/>
        <v>30</v>
      </c>
      <c r="L16" s="272">
        <f t="shared" si="1"/>
        <v>5.279999999999999</v>
      </c>
      <c r="M16" s="175"/>
      <c r="N16" s="272">
        <f t="shared" si="2"/>
        <v>2.2222222222222223</v>
      </c>
      <c r="O16" s="175"/>
      <c r="P16" s="272">
        <f t="shared" si="3"/>
        <v>37.50222222222222</v>
      </c>
      <c r="Q16" s="316">
        <f t="shared" si="4"/>
        <v>1.8751111111111112</v>
      </c>
      <c r="R16" s="176">
        <v>584</v>
      </c>
      <c r="S16" s="134">
        <f>Q16*R16</f>
        <v>1095.0648888888888</v>
      </c>
      <c r="T16" s="122"/>
    </row>
    <row r="17" spans="1:20" ht="31.5" customHeight="1">
      <c r="A17" s="368" t="s">
        <v>115</v>
      </c>
      <c r="B17" s="369"/>
      <c r="C17" s="380" t="s">
        <v>105</v>
      </c>
      <c r="D17" s="381"/>
      <c r="E17" s="128">
        <v>180</v>
      </c>
      <c r="F17" s="24"/>
      <c r="G17" s="128">
        <v>0</v>
      </c>
      <c r="H17" s="24"/>
      <c r="I17" s="128">
        <f>E17-G17</f>
        <v>180</v>
      </c>
      <c r="J17" s="24"/>
      <c r="K17" s="128">
        <f t="shared" si="0"/>
        <v>30</v>
      </c>
      <c r="L17" s="128">
        <f t="shared" si="1"/>
        <v>5.279999999999999</v>
      </c>
      <c r="M17" s="24"/>
      <c r="N17" s="128">
        <f t="shared" si="2"/>
        <v>2.2222222222222223</v>
      </c>
      <c r="O17" s="24"/>
      <c r="P17" s="273">
        <f t="shared" si="3"/>
        <v>37.50222222222222</v>
      </c>
      <c r="Q17" s="314">
        <f t="shared" si="4"/>
        <v>1.8751111111111112</v>
      </c>
      <c r="R17" s="178"/>
      <c r="S17" s="179">
        <f aca="true" t="shared" si="5" ref="S17:S22">P17*Q17*R17</f>
        <v>0</v>
      </c>
      <c r="T17" s="122"/>
    </row>
    <row r="18" spans="1:20" ht="31.5" customHeight="1">
      <c r="A18" s="370"/>
      <c r="B18" s="371"/>
      <c r="C18" s="382" t="s">
        <v>106</v>
      </c>
      <c r="D18" s="382"/>
      <c r="E18" s="128">
        <v>180</v>
      </c>
      <c r="F18" s="24"/>
      <c r="G18" s="128">
        <v>0</v>
      </c>
      <c r="H18" s="24"/>
      <c r="I18" s="128">
        <f>E18-G18</f>
        <v>180</v>
      </c>
      <c r="J18" s="24"/>
      <c r="K18" s="128">
        <f t="shared" si="0"/>
        <v>30</v>
      </c>
      <c r="L18" s="128">
        <f t="shared" si="1"/>
        <v>5.279999999999999</v>
      </c>
      <c r="M18" s="24"/>
      <c r="N18" s="128">
        <f t="shared" si="2"/>
        <v>2.2222222222222223</v>
      </c>
      <c r="O18" s="24"/>
      <c r="P18" s="273">
        <f t="shared" si="3"/>
        <v>37.50222222222222</v>
      </c>
      <c r="Q18" s="314">
        <f t="shared" si="4"/>
        <v>1.8751111111111112</v>
      </c>
      <c r="R18" s="178"/>
      <c r="S18" s="179">
        <f t="shared" si="5"/>
        <v>0</v>
      </c>
      <c r="T18" s="122"/>
    </row>
    <row r="19" spans="1:20" ht="31.5" customHeight="1" thickBot="1">
      <c r="A19" s="351"/>
      <c r="B19" s="352"/>
      <c r="C19" s="383" t="s">
        <v>107</v>
      </c>
      <c r="D19" s="383"/>
      <c r="E19" s="174">
        <v>180</v>
      </c>
      <c r="F19" s="175"/>
      <c r="G19" s="175"/>
      <c r="H19" s="175"/>
      <c r="I19" s="175"/>
      <c r="J19" s="175"/>
      <c r="K19" s="272">
        <f t="shared" si="0"/>
        <v>30</v>
      </c>
      <c r="L19" s="272">
        <f t="shared" si="1"/>
        <v>5.279999999999999</v>
      </c>
      <c r="M19" s="175"/>
      <c r="N19" s="272">
        <f t="shared" si="2"/>
        <v>2.2222222222222223</v>
      </c>
      <c r="O19" s="175"/>
      <c r="P19" s="272">
        <f t="shared" si="3"/>
        <v>37.50222222222222</v>
      </c>
      <c r="Q19" s="316">
        <f t="shared" si="4"/>
        <v>1.8751111111111112</v>
      </c>
      <c r="R19" s="176"/>
      <c r="S19" s="275">
        <f t="shared" si="5"/>
        <v>0</v>
      </c>
      <c r="T19" s="122"/>
    </row>
    <row r="20" spans="1:20" ht="31.5" customHeight="1">
      <c r="A20" s="353" t="s">
        <v>116</v>
      </c>
      <c r="B20" s="354"/>
      <c r="C20" s="380" t="s">
        <v>105</v>
      </c>
      <c r="D20" s="381"/>
      <c r="E20" s="128">
        <v>180</v>
      </c>
      <c r="F20" s="24"/>
      <c r="G20" s="128">
        <v>0</v>
      </c>
      <c r="H20" s="24"/>
      <c r="I20" s="128">
        <f>E20-G20</f>
        <v>180</v>
      </c>
      <c r="J20" s="24"/>
      <c r="K20" s="128">
        <f t="shared" si="0"/>
        <v>30</v>
      </c>
      <c r="L20" s="128">
        <f t="shared" si="1"/>
        <v>5.279999999999999</v>
      </c>
      <c r="M20" s="24"/>
      <c r="N20" s="128">
        <f t="shared" si="2"/>
        <v>2.2222222222222223</v>
      </c>
      <c r="O20" s="25"/>
      <c r="P20" s="273">
        <f t="shared" si="3"/>
        <v>37.50222222222222</v>
      </c>
      <c r="Q20" s="314">
        <f t="shared" si="4"/>
        <v>1.8751111111111112</v>
      </c>
      <c r="R20" s="166"/>
      <c r="S20" s="179">
        <f t="shared" si="5"/>
        <v>0</v>
      </c>
      <c r="T20" s="122"/>
    </row>
    <row r="21" spans="1:20" ht="31.5" customHeight="1">
      <c r="A21" s="372"/>
      <c r="B21" s="373"/>
      <c r="C21" s="382" t="s">
        <v>106</v>
      </c>
      <c r="D21" s="382"/>
      <c r="E21" s="128">
        <v>180</v>
      </c>
      <c r="F21" s="24"/>
      <c r="G21" s="128">
        <v>0</v>
      </c>
      <c r="H21" s="24"/>
      <c r="I21" s="128">
        <f>E21-G21</f>
        <v>180</v>
      </c>
      <c r="J21" s="24"/>
      <c r="K21" s="128">
        <f t="shared" si="0"/>
        <v>30</v>
      </c>
      <c r="L21" s="128">
        <f t="shared" si="1"/>
        <v>5.279999999999999</v>
      </c>
      <c r="M21" s="24"/>
      <c r="N21" s="128">
        <f t="shared" si="2"/>
        <v>2.2222222222222223</v>
      </c>
      <c r="O21" s="25"/>
      <c r="P21" s="273">
        <f t="shared" si="3"/>
        <v>37.50222222222222</v>
      </c>
      <c r="Q21" s="314">
        <f t="shared" si="4"/>
        <v>1.8751111111111112</v>
      </c>
      <c r="R21" s="166"/>
      <c r="S21" s="179">
        <f t="shared" si="5"/>
        <v>0</v>
      </c>
      <c r="T21" s="122"/>
    </row>
    <row r="22" spans="1:20" ht="31.5" customHeight="1" thickBot="1">
      <c r="A22" s="374"/>
      <c r="B22" s="375"/>
      <c r="C22" s="383" t="s">
        <v>107</v>
      </c>
      <c r="D22" s="383"/>
      <c r="E22" s="174">
        <v>180</v>
      </c>
      <c r="F22" s="175"/>
      <c r="G22" s="175"/>
      <c r="H22" s="175"/>
      <c r="I22" s="175"/>
      <c r="J22" s="175"/>
      <c r="K22" s="272">
        <f t="shared" si="0"/>
        <v>30</v>
      </c>
      <c r="L22" s="272">
        <f t="shared" si="1"/>
        <v>5.279999999999999</v>
      </c>
      <c r="M22" s="175"/>
      <c r="N22" s="272">
        <f t="shared" si="2"/>
        <v>2.2222222222222223</v>
      </c>
      <c r="O22" s="175"/>
      <c r="P22" s="272">
        <f t="shared" si="3"/>
        <v>37.50222222222222</v>
      </c>
      <c r="Q22" s="316">
        <f t="shared" si="4"/>
        <v>1.8751111111111112</v>
      </c>
      <c r="R22" s="176"/>
      <c r="S22" s="179">
        <f t="shared" si="5"/>
        <v>0</v>
      </c>
      <c r="T22" s="122"/>
    </row>
    <row r="23" spans="1:20" ht="31.5" customHeight="1">
      <c r="A23" s="368" t="s">
        <v>117</v>
      </c>
      <c r="B23" s="369"/>
      <c r="C23" s="380" t="s">
        <v>105</v>
      </c>
      <c r="D23" s="381"/>
      <c r="E23" s="128">
        <v>180</v>
      </c>
      <c r="F23" s="24"/>
      <c r="G23" s="128">
        <v>0</v>
      </c>
      <c r="H23" s="24"/>
      <c r="I23" s="128">
        <f>E23-G23</f>
        <v>180</v>
      </c>
      <c r="J23" s="24"/>
      <c r="K23" s="128">
        <f t="shared" si="0"/>
        <v>30</v>
      </c>
      <c r="L23" s="128">
        <f t="shared" si="1"/>
        <v>5.279999999999999</v>
      </c>
      <c r="M23" s="24"/>
      <c r="N23" s="128">
        <f t="shared" si="2"/>
        <v>2.2222222222222223</v>
      </c>
      <c r="O23" s="25"/>
      <c r="P23" s="273">
        <f t="shared" si="3"/>
        <v>37.50222222222222</v>
      </c>
      <c r="Q23" s="314">
        <f t="shared" si="4"/>
        <v>1.8751111111111112</v>
      </c>
      <c r="R23" s="166">
        <v>331</v>
      </c>
      <c r="S23" s="133">
        <f>Q23*R23</f>
        <v>620.6617777777778</v>
      </c>
      <c r="T23" s="122"/>
    </row>
    <row r="24" spans="1:20" ht="31.5" customHeight="1">
      <c r="A24" s="370"/>
      <c r="B24" s="371"/>
      <c r="C24" s="382" t="s">
        <v>106</v>
      </c>
      <c r="D24" s="382"/>
      <c r="E24" s="128">
        <v>180</v>
      </c>
      <c r="F24" s="24"/>
      <c r="G24" s="128">
        <v>0</v>
      </c>
      <c r="H24" s="24"/>
      <c r="I24" s="128">
        <f>E24-G24</f>
        <v>180</v>
      </c>
      <c r="J24" s="24"/>
      <c r="K24" s="128">
        <f t="shared" si="0"/>
        <v>30</v>
      </c>
      <c r="L24" s="128">
        <f t="shared" si="1"/>
        <v>5.279999999999999</v>
      </c>
      <c r="M24" s="24"/>
      <c r="N24" s="128">
        <f t="shared" si="2"/>
        <v>2.2222222222222223</v>
      </c>
      <c r="O24" s="25"/>
      <c r="P24" s="273">
        <f t="shared" si="3"/>
        <v>37.50222222222222</v>
      </c>
      <c r="Q24" s="314">
        <f t="shared" si="4"/>
        <v>1.8751111111111112</v>
      </c>
      <c r="R24" s="166">
        <v>331</v>
      </c>
      <c r="S24" s="133">
        <f>Q24*R24</f>
        <v>620.6617777777778</v>
      </c>
      <c r="T24" s="123"/>
    </row>
    <row r="25" spans="1:20" ht="31.5" customHeight="1" thickBot="1">
      <c r="A25" s="351"/>
      <c r="B25" s="352"/>
      <c r="C25" s="383" t="s">
        <v>107</v>
      </c>
      <c r="D25" s="383"/>
      <c r="E25" s="174">
        <v>180</v>
      </c>
      <c r="F25" s="175"/>
      <c r="G25" s="175"/>
      <c r="H25" s="175"/>
      <c r="I25" s="175"/>
      <c r="J25" s="175"/>
      <c r="K25" s="272">
        <f t="shared" si="0"/>
        <v>30</v>
      </c>
      <c r="L25" s="272">
        <f t="shared" si="1"/>
        <v>5.279999999999999</v>
      </c>
      <c r="M25" s="175"/>
      <c r="N25" s="272">
        <f t="shared" si="2"/>
        <v>2.2222222222222223</v>
      </c>
      <c r="O25" s="175"/>
      <c r="P25" s="272">
        <f t="shared" si="3"/>
        <v>37.50222222222222</v>
      </c>
      <c r="Q25" s="316">
        <f t="shared" si="4"/>
        <v>1.8751111111111112</v>
      </c>
      <c r="R25" s="176">
        <v>331</v>
      </c>
      <c r="S25" s="308">
        <f>Q25*R25</f>
        <v>620.6617777777778</v>
      </c>
      <c r="T25" s="123"/>
    </row>
    <row r="26" ht="28.5" customHeight="1" thickBot="1">
      <c r="S26" s="309">
        <f>SUM(S14:S25)</f>
        <v>5147.18</v>
      </c>
    </row>
    <row r="29" spans="1:5" ht="12.75">
      <c r="A29" s="268"/>
      <c r="B29" s="268"/>
      <c r="C29" s="268"/>
      <c r="D29" s="268"/>
      <c r="E29" s="268"/>
    </row>
    <row r="32" spans="18:19" ht="19.5" customHeight="1">
      <c r="R32" s="149" t="s">
        <v>134</v>
      </c>
      <c r="S32" s="150">
        <f>S14+S17+S20+S23</f>
        <v>1715.7266666666667</v>
      </c>
    </row>
    <row r="33" spans="18:19" ht="19.5" customHeight="1">
      <c r="R33" s="149" t="s">
        <v>135</v>
      </c>
      <c r="S33" s="146">
        <f>S15+S18+S21+S24</f>
        <v>1715.7266666666667</v>
      </c>
    </row>
    <row r="34" spans="18:19" ht="19.5" customHeight="1">
      <c r="R34" s="149" t="s">
        <v>136</v>
      </c>
      <c r="S34" s="146">
        <f>S16+S19+S22+S25</f>
        <v>1715.7266666666667</v>
      </c>
    </row>
  </sheetData>
  <mergeCells count="24">
    <mergeCell ref="C25:D25"/>
    <mergeCell ref="A10:S10"/>
    <mergeCell ref="A5:S5"/>
    <mergeCell ref="A8:S8"/>
    <mergeCell ref="A9:S9"/>
    <mergeCell ref="C21:D21"/>
    <mergeCell ref="C23:D23"/>
    <mergeCell ref="C24:D24"/>
    <mergeCell ref="C22:D22"/>
    <mergeCell ref="C17:D17"/>
    <mergeCell ref="C18:D18"/>
    <mergeCell ref="C19:D19"/>
    <mergeCell ref="C20:D20"/>
    <mergeCell ref="C12:D12"/>
    <mergeCell ref="C14:D14"/>
    <mergeCell ref="A14:B16"/>
    <mergeCell ref="C15:D15"/>
    <mergeCell ref="C16:D16"/>
    <mergeCell ref="A13:B13"/>
    <mergeCell ref="C13:D13"/>
    <mergeCell ref="A17:B19"/>
    <mergeCell ref="A20:B22"/>
    <mergeCell ref="A23:B25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4"/>
  <sheetViews>
    <sheetView zoomScale="80" zoomScaleNormal="80" workbookViewId="0" topLeftCell="A7">
      <selection activeCell="E21" sqref="E21"/>
    </sheetView>
  </sheetViews>
  <sheetFormatPr defaultColWidth="9.140625" defaultRowHeight="12.75"/>
  <cols>
    <col min="1" max="1" width="7.8515625" style="0" customWidth="1"/>
    <col min="3" max="3" width="8.28125" style="0" customWidth="1"/>
    <col min="4" max="4" width="8.140625" style="0" customWidth="1"/>
    <col min="5" max="5" width="17.7109375" style="0" customWidth="1"/>
    <col min="6" max="6" width="12.7109375" style="0" hidden="1" customWidth="1"/>
    <col min="7" max="7" width="18.7109375" style="0" hidden="1" customWidth="1"/>
    <col min="8" max="8" width="12.57421875" style="0" hidden="1" customWidth="1"/>
    <col min="9" max="9" width="15.57421875" style="0" hidden="1" customWidth="1"/>
    <col min="10" max="10" width="9.8515625" style="0" hidden="1" customWidth="1"/>
    <col min="11" max="12" width="16.7109375" style="0" customWidth="1"/>
    <col min="13" max="13" width="11.8515625" style="0" hidden="1" customWidth="1"/>
    <col min="14" max="14" width="12.00390625" style="0" customWidth="1"/>
    <col min="15" max="15" width="8.28125" style="0" hidden="1" customWidth="1"/>
    <col min="16" max="16" width="14.00390625" style="0" customWidth="1"/>
    <col min="17" max="18" width="13.7109375" style="0" customWidth="1"/>
    <col min="19" max="19" width="17.57421875" style="0" customWidth="1"/>
    <col min="20" max="20" width="15.421875" style="0" hidden="1" customWidth="1"/>
  </cols>
  <sheetData>
    <row r="2" ht="18">
      <c r="B2" s="43" t="s">
        <v>52</v>
      </c>
    </row>
    <row r="4" ht="13.5" thickBot="1"/>
    <row r="5" spans="1:20" ht="24" thickBot="1">
      <c r="A5" s="387" t="s">
        <v>104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75"/>
    </row>
    <row r="6" spans="1:20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8" spans="1:20" ht="18">
      <c r="A8" s="386" t="s">
        <v>81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89"/>
    </row>
    <row r="9" spans="1:20" ht="18">
      <c r="A9" s="386" t="s">
        <v>82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89"/>
    </row>
    <row r="10" spans="1:19" ht="18">
      <c r="A10" s="386" t="s">
        <v>83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</row>
    <row r="11" spans="17:23" ht="13.5" thickBot="1">
      <c r="Q11" s="268"/>
      <c r="R11" s="268"/>
      <c r="S11" s="268"/>
      <c r="T11" s="268"/>
      <c r="U11" s="268"/>
      <c r="V11" s="268"/>
      <c r="W11" s="268"/>
    </row>
    <row r="12" spans="1:19" ht="75.75" customHeight="1" thickBot="1">
      <c r="A12" s="376" t="s">
        <v>39</v>
      </c>
      <c r="B12" s="377"/>
      <c r="C12" s="378" t="s">
        <v>40</v>
      </c>
      <c r="D12" s="379"/>
      <c r="E12" s="32" t="s">
        <v>69</v>
      </c>
      <c r="F12" s="31"/>
      <c r="G12" s="32" t="s">
        <v>67</v>
      </c>
      <c r="H12" s="31"/>
      <c r="I12" s="32" t="s">
        <v>68</v>
      </c>
      <c r="J12" s="94"/>
      <c r="K12" s="31" t="s">
        <v>66</v>
      </c>
      <c r="L12" s="127" t="s">
        <v>112</v>
      </c>
      <c r="M12" s="31"/>
      <c r="N12" s="32" t="s">
        <v>16</v>
      </c>
      <c r="O12" s="31"/>
      <c r="P12" s="32" t="s">
        <v>154</v>
      </c>
      <c r="Q12" s="131" t="s">
        <v>155</v>
      </c>
      <c r="R12" s="132" t="s">
        <v>156</v>
      </c>
      <c r="S12" s="124" t="s">
        <v>41</v>
      </c>
    </row>
    <row r="13" spans="1:19" ht="26.25" customHeight="1" hidden="1" thickBot="1">
      <c r="A13" s="384"/>
      <c r="B13" s="385"/>
      <c r="C13" s="385"/>
      <c r="D13" s="378"/>
      <c r="E13" s="258"/>
      <c r="F13" s="257"/>
      <c r="G13" s="258"/>
      <c r="H13" s="257"/>
      <c r="I13" s="258"/>
      <c r="J13" s="26"/>
      <c r="K13" s="257"/>
      <c r="L13" s="293">
        <v>0.176</v>
      </c>
      <c r="M13" s="257"/>
      <c r="N13" s="258">
        <v>13.5</v>
      </c>
      <c r="O13" s="257"/>
      <c r="P13" s="258"/>
      <c r="Q13" s="269"/>
      <c r="R13" s="270"/>
      <c r="S13" s="271"/>
    </row>
    <row r="14" spans="1:20" ht="31.5" customHeight="1">
      <c r="A14" s="368" t="s">
        <v>108</v>
      </c>
      <c r="B14" s="369"/>
      <c r="C14" s="380" t="s">
        <v>105</v>
      </c>
      <c r="D14" s="381"/>
      <c r="E14" s="128">
        <v>45</v>
      </c>
      <c r="F14" s="24"/>
      <c r="G14" s="128">
        <v>0</v>
      </c>
      <c r="H14" s="24"/>
      <c r="I14" s="128">
        <f>E14-G14</f>
        <v>45</v>
      </c>
      <c r="J14" s="24"/>
      <c r="K14" s="128">
        <f aca="true" t="shared" si="0" ref="K14:K25">E14*2/12</f>
        <v>7.5</v>
      </c>
      <c r="L14" s="128">
        <f aca="true" t="shared" si="1" ref="L14:L25">K14*$L$13</f>
        <v>1.3199999999999998</v>
      </c>
      <c r="M14" s="24"/>
      <c r="N14" s="128">
        <f aca="true" t="shared" si="2" ref="N14:N25">K14/$N$13</f>
        <v>0.5555555555555556</v>
      </c>
      <c r="O14" s="24"/>
      <c r="P14" s="273">
        <f aca="true" t="shared" si="3" ref="P14:P25">K14+L14+N14</f>
        <v>9.375555555555556</v>
      </c>
      <c r="Q14" s="314">
        <f aca="true" t="shared" si="4" ref="Q14:Q25">P14/20</f>
        <v>0.4687777777777778</v>
      </c>
      <c r="R14" s="129">
        <v>250</v>
      </c>
      <c r="S14" s="133">
        <f>Q14*R14</f>
        <v>117.19444444444444</v>
      </c>
      <c r="T14" s="33"/>
    </row>
    <row r="15" spans="1:20" ht="31.5" customHeight="1">
      <c r="A15" s="370"/>
      <c r="B15" s="371"/>
      <c r="C15" s="382" t="s">
        <v>106</v>
      </c>
      <c r="D15" s="382"/>
      <c r="E15" s="128">
        <v>45</v>
      </c>
      <c r="F15" s="24"/>
      <c r="G15" s="128">
        <v>0</v>
      </c>
      <c r="H15" s="24"/>
      <c r="I15" s="128">
        <f>E15-G15</f>
        <v>45</v>
      </c>
      <c r="J15" s="24"/>
      <c r="K15" s="128">
        <f t="shared" si="0"/>
        <v>7.5</v>
      </c>
      <c r="L15" s="128">
        <f t="shared" si="1"/>
        <v>1.3199999999999998</v>
      </c>
      <c r="M15" s="24"/>
      <c r="N15" s="128">
        <f t="shared" si="2"/>
        <v>0.5555555555555556</v>
      </c>
      <c r="O15" s="24"/>
      <c r="P15" s="273">
        <f t="shared" si="3"/>
        <v>9.375555555555556</v>
      </c>
      <c r="Q15" s="314">
        <f t="shared" si="4"/>
        <v>0.4687777777777778</v>
      </c>
      <c r="R15" s="129">
        <v>250</v>
      </c>
      <c r="S15" s="133">
        <f>Q15*R15</f>
        <v>117.19444444444444</v>
      </c>
      <c r="T15" s="33"/>
    </row>
    <row r="16" spans="1:20" ht="31.5" customHeight="1" thickBot="1">
      <c r="A16" s="351"/>
      <c r="B16" s="352"/>
      <c r="C16" s="383" t="s">
        <v>107</v>
      </c>
      <c r="D16" s="383"/>
      <c r="E16" s="174">
        <v>45</v>
      </c>
      <c r="F16" s="175"/>
      <c r="G16" s="175"/>
      <c r="H16" s="175"/>
      <c r="I16" s="175"/>
      <c r="J16" s="175"/>
      <c r="K16" s="272">
        <f t="shared" si="0"/>
        <v>7.5</v>
      </c>
      <c r="L16" s="272">
        <f t="shared" si="1"/>
        <v>1.3199999999999998</v>
      </c>
      <c r="M16" s="175"/>
      <c r="N16" s="272">
        <f t="shared" si="2"/>
        <v>0.5555555555555556</v>
      </c>
      <c r="O16" s="175"/>
      <c r="P16" s="272">
        <f t="shared" si="3"/>
        <v>9.375555555555556</v>
      </c>
      <c r="Q16" s="316">
        <f t="shared" si="4"/>
        <v>0.4687777777777778</v>
      </c>
      <c r="R16" s="176">
        <v>250</v>
      </c>
      <c r="S16" s="134">
        <f>Q16*R16</f>
        <v>117.19444444444444</v>
      </c>
      <c r="T16" s="122"/>
    </row>
    <row r="17" spans="1:20" ht="31.5" customHeight="1">
      <c r="A17" s="368" t="s">
        <v>109</v>
      </c>
      <c r="B17" s="369"/>
      <c r="C17" s="380" t="s">
        <v>105</v>
      </c>
      <c r="D17" s="381"/>
      <c r="E17" s="128">
        <v>45</v>
      </c>
      <c r="F17" s="24"/>
      <c r="G17" s="128">
        <v>0</v>
      </c>
      <c r="H17" s="24"/>
      <c r="I17" s="128">
        <f>E17-G17</f>
        <v>45</v>
      </c>
      <c r="J17" s="24"/>
      <c r="K17" s="128">
        <f t="shared" si="0"/>
        <v>7.5</v>
      </c>
      <c r="L17" s="128">
        <f t="shared" si="1"/>
        <v>1.3199999999999998</v>
      </c>
      <c r="M17" s="24"/>
      <c r="N17" s="128">
        <f t="shared" si="2"/>
        <v>0.5555555555555556</v>
      </c>
      <c r="O17" s="24"/>
      <c r="P17" s="273">
        <f t="shared" si="3"/>
        <v>9.375555555555556</v>
      </c>
      <c r="Q17" s="317">
        <f t="shared" si="4"/>
        <v>0.4687777777777778</v>
      </c>
      <c r="R17" s="178"/>
      <c r="S17" s="179">
        <f aca="true" t="shared" si="5" ref="S17:S22">P17*Q17*R17</f>
        <v>0</v>
      </c>
      <c r="T17" s="122"/>
    </row>
    <row r="18" spans="1:20" ht="31.5" customHeight="1">
      <c r="A18" s="370"/>
      <c r="B18" s="371"/>
      <c r="C18" s="382" t="s">
        <v>106</v>
      </c>
      <c r="D18" s="382"/>
      <c r="E18" s="128">
        <v>45</v>
      </c>
      <c r="F18" s="24"/>
      <c r="G18" s="128">
        <v>0</v>
      </c>
      <c r="H18" s="24"/>
      <c r="I18" s="128">
        <f>E18-G18</f>
        <v>45</v>
      </c>
      <c r="J18" s="24"/>
      <c r="K18" s="128">
        <f t="shared" si="0"/>
        <v>7.5</v>
      </c>
      <c r="L18" s="128">
        <f t="shared" si="1"/>
        <v>1.3199999999999998</v>
      </c>
      <c r="M18" s="24"/>
      <c r="N18" s="128">
        <f t="shared" si="2"/>
        <v>0.5555555555555556</v>
      </c>
      <c r="O18" s="24"/>
      <c r="P18" s="273">
        <f t="shared" si="3"/>
        <v>9.375555555555556</v>
      </c>
      <c r="Q18" s="317">
        <f t="shared" si="4"/>
        <v>0.4687777777777778</v>
      </c>
      <c r="R18" s="178"/>
      <c r="S18" s="179">
        <f t="shared" si="5"/>
        <v>0</v>
      </c>
      <c r="T18" s="122"/>
    </row>
    <row r="19" spans="1:20" ht="31.5" customHeight="1" thickBot="1">
      <c r="A19" s="351"/>
      <c r="B19" s="352"/>
      <c r="C19" s="383" t="s">
        <v>107</v>
      </c>
      <c r="D19" s="383"/>
      <c r="E19" s="174">
        <v>45</v>
      </c>
      <c r="F19" s="175"/>
      <c r="G19" s="175"/>
      <c r="H19" s="175"/>
      <c r="I19" s="175"/>
      <c r="J19" s="175"/>
      <c r="K19" s="272">
        <f t="shared" si="0"/>
        <v>7.5</v>
      </c>
      <c r="L19" s="272">
        <f t="shared" si="1"/>
        <v>1.3199999999999998</v>
      </c>
      <c r="M19" s="175"/>
      <c r="N19" s="272">
        <f t="shared" si="2"/>
        <v>0.5555555555555556</v>
      </c>
      <c r="O19" s="175"/>
      <c r="P19" s="272">
        <f t="shared" si="3"/>
        <v>9.375555555555556</v>
      </c>
      <c r="Q19" s="316">
        <f t="shared" si="4"/>
        <v>0.4687777777777778</v>
      </c>
      <c r="R19" s="176"/>
      <c r="S19" s="275">
        <f t="shared" si="5"/>
        <v>0</v>
      </c>
      <c r="T19" s="122"/>
    </row>
    <row r="20" spans="1:20" ht="31.5" customHeight="1">
      <c r="A20" s="368" t="s">
        <v>110</v>
      </c>
      <c r="B20" s="369"/>
      <c r="C20" s="380" t="s">
        <v>105</v>
      </c>
      <c r="D20" s="381"/>
      <c r="E20" s="128">
        <v>45</v>
      </c>
      <c r="F20" s="24"/>
      <c r="G20" s="128">
        <v>0</v>
      </c>
      <c r="H20" s="24"/>
      <c r="I20" s="128">
        <f>E20-G20</f>
        <v>45</v>
      </c>
      <c r="J20" s="24"/>
      <c r="K20" s="128">
        <f t="shared" si="0"/>
        <v>7.5</v>
      </c>
      <c r="L20" s="128">
        <f t="shared" si="1"/>
        <v>1.3199999999999998</v>
      </c>
      <c r="M20" s="24"/>
      <c r="N20" s="128">
        <f t="shared" si="2"/>
        <v>0.5555555555555556</v>
      </c>
      <c r="O20" s="25"/>
      <c r="P20" s="273">
        <f t="shared" si="3"/>
        <v>9.375555555555556</v>
      </c>
      <c r="Q20" s="317">
        <f t="shared" si="4"/>
        <v>0.4687777777777778</v>
      </c>
      <c r="R20" s="166"/>
      <c r="S20" s="179">
        <f t="shared" si="5"/>
        <v>0</v>
      </c>
      <c r="T20" s="122"/>
    </row>
    <row r="21" spans="1:20" ht="31.5" customHeight="1">
      <c r="A21" s="370"/>
      <c r="B21" s="371"/>
      <c r="C21" s="382" t="s">
        <v>106</v>
      </c>
      <c r="D21" s="382"/>
      <c r="E21" s="128">
        <v>45</v>
      </c>
      <c r="F21" s="24"/>
      <c r="G21" s="128">
        <v>0</v>
      </c>
      <c r="H21" s="24"/>
      <c r="I21" s="128">
        <f>E21-G21</f>
        <v>45</v>
      </c>
      <c r="J21" s="24"/>
      <c r="K21" s="128">
        <f t="shared" si="0"/>
        <v>7.5</v>
      </c>
      <c r="L21" s="128">
        <f t="shared" si="1"/>
        <v>1.3199999999999998</v>
      </c>
      <c r="M21" s="24"/>
      <c r="N21" s="128">
        <f t="shared" si="2"/>
        <v>0.5555555555555556</v>
      </c>
      <c r="O21" s="25"/>
      <c r="P21" s="273">
        <f t="shared" si="3"/>
        <v>9.375555555555556</v>
      </c>
      <c r="Q21" s="317">
        <f t="shared" si="4"/>
        <v>0.4687777777777778</v>
      </c>
      <c r="R21" s="166"/>
      <c r="S21" s="179">
        <f t="shared" si="5"/>
        <v>0</v>
      </c>
      <c r="T21" s="122"/>
    </row>
    <row r="22" spans="1:20" ht="31.5" customHeight="1" thickBot="1">
      <c r="A22" s="351"/>
      <c r="B22" s="352"/>
      <c r="C22" s="383" t="s">
        <v>107</v>
      </c>
      <c r="D22" s="383"/>
      <c r="E22" s="174">
        <v>45</v>
      </c>
      <c r="F22" s="175"/>
      <c r="G22" s="175"/>
      <c r="H22" s="175"/>
      <c r="I22" s="175"/>
      <c r="J22" s="175"/>
      <c r="K22" s="272">
        <f t="shared" si="0"/>
        <v>7.5</v>
      </c>
      <c r="L22" s="272">
        <f t="shared" si="1"/>
        <v>1.3199999999999998</v>
      </c>
      <c r="M22" s="175"/>
      <c r="N22" s="272">
        <f t="shared" si="2"/>
        <v>0.5555555555555556</v>
      </c>
      <c r="O22" s="175"/>
      <c r="P22" s="272">
        <f t="shared" si="3"/>
        <v>9.375555555555556</v>
      </c>
      <c r="Q22" s="316">
        <f t="shared" si="4"/>
        <v>0.4687777777777778</v>
      </c>
      <c r="R22" s="176"/>
      <c r="S22" s="275">
        <f t="shared" si="5"/>
        <v>0</v>
      </c>
      <c r="T22" s="122"/>
    </row>
    <row r="23" spans="1:20" ht="31.5" customHeight="1">
      <c r="A23" s="368" t="s">
        <v>111</v>
      </c>
      <c r="B23" s="369"/>
      <c r="C23" s="380" t="s">
        <v>105</v>
      </c>
      <c r="D23" s="381"/>
      <c r="E23" s="128">
        <v>45</v>
      </c>
      <c r="F23" s="24"/>
      <c r="G23" s="128">
        <v>0</v>
      </c>
      <c r="H23" s="24"/>
      <c r="I23" s="128">
        <f>E23-G23</f>
        <v>45</v>
      </c>
      <c r="J23" s="24"/>
      <c r="K23" s="128">
        <f t="shared" si="0"/>
        <v>7.5</v>
      </c>
      <c r="L23" s="128">
        <f t="shared" si="1"/>
        <v>1.3199999999999998</v>
      </c>
      <c r="M23" s="24"/>
      <c r="N23" s="128">
        <f t="shared" si="2"/>
        <v>0.5555555555555556</v>
      </c>
      <c r="O23" s="25"/>
      <c r="P23" s="273">
        <f t="shared" si="3"/>
        <v>9.375555555555556</v>
      </c>
      <c r="Q23" s="317">
        <f t="shared" si="4"/>
        <v>0.4687777777777778</v>
      </c>
      <c r="R23" s="166">
        <v>150</v>
      </c>
      <c r="S23" s="312">
        <f>Q23*R23</f>
        <v>70.31666666666666</v>
      </c>
      <c r="T23" s="122"/>
    </row>
    <row r="24" spans="1:20" ht="31.5" customHeight="1">
      <c r="A24" s="370"/>
      <c r="B24" s="371"/>
      <c r="C24" s="382" t="s">
        <v>106</v>
      </c>
      <c r="D24" s="382"/>
      <c r="E24" s="128">
        <v>45</v>
      </c>
      <c r="F24" s="24"/>
      <c r="G24" s="128">
        <v>0</v>
      </c>
      <c r="H24" s="24"/>
      <c r="I24" s="128">
        <f>E24-G24</f>
        <v>45</v>
      </c>
      <c r="J24" s="24"/>
      <c r="K24" s="128">
        <f t="shared" si="0"/>
        <v>7.5</v>
      </c>
      <c r="L24" s="128">
        <f t="shared" si="1"/>
        <v>1.3199999999999998</v>
      </c>
      <c r="M24" s="24"/>
      <c r="N24" s="128">
        <f t="shared" si="2"/>
        <v>0.5555555555555556</v>
      </c>
      <c r="O24" s="25"/>
      <c r="P24" s="273">
        <f t="shared" si="3"/>
        <v>9.375555555555556</v>
      </c>
      <c r="Q24" s="317">
        <f t="shared" si="4"/>
        <v>0.4687777777777778</v>
      </c>
      <c r="R24" s="166">
        <v>150</v>
      </c>
      <c r="S24" s="312">
        <f>Q24*R24</f>
        <v>70.31666666666666</v>
      </c>
      <c r="T24" s="123"/>
    </row>
    <row r="25" spans="1:20" ht="31.5" customHeight="1" thickBot="1">
      <c r="A25" s="351"/>
      <c r="B25" s="352"/>
      <c r="C25" s="383" t="s">
        <v>107</v>
      </c>
      <c r="D25" s="383"/>
      <c r="E25" s="267">
        <v>45</v>
      </c>
      <c r="F25" s="175"/>
      <c r="G25" s="175"/>
      <c r="H25" s="175"/>
      <c r="I25" s="175"/>
      <c r="J25" s="175"/>
      <c r="K25" s="272">
        <f t="shared" si="0"/>
        <v>7.5</v>
      </c>
      <c r="L25" s="272">
        <f t="shared" si="1"/>
        <v>1.3199999999999998</v>
      </c>
      <c r="M25" s="175"/>
      <c r="N25" s="272">
        <f t="shared" si="2"/>
        <v>0.5555555555555556</v>
      </c>
      <c r="O25" s="175"/>
      <c r="P25" s="272">
        <f t="shared" si="3"/>
        <v>9.375555555555556</v>
      </c>
      <c r="Q25" s="316">
        <f t="shared" si="4"/>
        <v>0.4687777777777778</v>
      </c>
      <c r="R25" s="176">
        <v>150</v>
      </c>
      <c r="S25" s="134">
        <f>Q25*R25</f>
        <v>70.31666666666666</v>
      </c>
      <c r="T25" s="123"/>
    </row>
    <row r="26" ht="28.5" customHeight="1" thickBot="1">
      <c r="S26" s="173">
        <f>SUM(S14:S25)</f>
        <v>562.5333333333333</v>
      </c>
    </row>
    <row r="29" spans="1:5" ht="12.75">
      <c r="A29" s="268"/>
      <c r="B29" s="268"/>
      <c r="C29" s="268"/>
      <c r="D29" s="268"/>
      <c r="E29" s="268"/>
    </row>
    <row r="32" spans="18:19" ht="20.25" customHeight="1">
      <c r="R32" s="149" t="s">
        <v>134</v>
      </c>
      <c r="S32" s="150">
        <f>S14+S17+S20+S23</f>
        <v>187.51111111111112</v>
      </c>
    </row>
    <row r="33" spans="18:19" ht="20.25" customHeight="1">
      <c r="R33" s="149" t="s">
        <v>135</v>
      </c>
      <c r="S33" s="146">
        <f>S15+S18+S21+S24</f>
        <v>187.51111111111112</v>
      </c>
    </row>
    <row r="34" spans="18:19" ht="20.25" customHeight="1">
      <c r="R34" s="149" t="s">
        <v>136</v>
      </c>
      <c r="S34" s="146">
        <f>S16+S19+S22+S25</f>
        <v>187.51111111111112</v>
      </c>
    </row>
  </sheetData>
  <mergeCells count="24">
    <mergeCell ref="A14:B16"/>
    <mergeCell ref="A12:B12"/>
    <mergeCell ref="C12:D12"/>
    <mergeCell ref="C14:D14"/>
    <mergeCell ref="A5:S5"/>
    <mergeCell ref="A8:S8"/>
    <mergeCell ref="A9:S9"/>
    <mergeCell ref="C20:D20"/>
    <mergeCell ref="C17:D17"/>
    <mergeCell ref="C18:D18"/>
    <mergeCell ref="C19:D19"/>
    <mergeCell ref="C15:D15"/>
    <mergeCell ref="C16:D16"/>
    <mergeCell ref="A13:B13"/>
    <mergeCell ref="A17:B19"/>
    <mergeCell ref="A20:B22"/>
    <mergeCell ref="A23:B25"/>
    <mergeCell ref="A10:S10"/>
    <mergeCell ref="C21:D21"/>
    <mergeCell ref="C23:D23"/>
    <mergeCell ref="C24:D24"/>
    <mergeCell ref="C22:D22"/>
    <mergeCell ref="C25:D25"/>
    <mergeCell ref="C13:D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workbookViewId="0" topLeftCell="A10">
      <selection activeCell="A35" sqref="A35"/>
    </sheetView>
  </sheetViews>
  <sheetFormatPr defaultColWidth="9.140625" defaultRowHeight="12.75"/>
  <cols>
    <col min="1" max="6" width="20.7109375" style="0" customWidth="1"/>
    <col min="7" max="8" width="22.57421875" style="0" customWidth="1"/>
    <col min="9" max="9" width="1.8515625" style="0" customWidth="1"/>
    <col min="10" max="10" width="17.421875" style="0" customWidth="1"/>
  </cols>
  <sheetData>
    <row r="1" spans="2:3" ht="25.5">
      <c r="B1" s="91"/>
      <c r="C1" s="91"/>
    </row>
    <row r="2" spans="2:3" ht="18">
      <c r="B2" t="s">
        <v>53</v>
      </c>
      <c r="C2" s="43"/>
    </row>
    <row r="4" ht="13.5" thickBot="1"/>
    <row r="5" spans="1:9" ht="24" thickBot="1">
      <c r="A5" s="389" t="s">
        <v>87</v>
      </c>
      <c r="B5" s="390"/>
      <c r="C5" s="390"/>
      <c r="D5" s="390"/>
      <c r="E5" s="390"/>
      <c r="F5" s="390"/>
      <c r="G5" s="390"/>
      <c r="H5" s="390"/>
      <c r="I5" s="192"/>
    </row>
    <row r="6" spans="1:9" ht="17.2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8">
      <c r="A7" s="386" t="s">
        <v>81</v>
      </c>
      <c r="B7" s="386"/>
      <c r="C7" s="386"/>
      <c r="D7" s="386"/>
      <c r="E7" s="386"/>
      <c r="F7" s="386"/>
      <c r="G7" s="386"/>
      <c r="H7" s="386"/>
      <c r="I7" s="89"/>
    </row>
    <row r="8" spans="1:9" ht="18">
      <c r="A8" s="386" t="s">
        <v>82</v>
      </c>
      <c r="B8" s="386"/>
      <c r="C8" s="386"/>
      <c r="D8" s="386"/>
      <c r="E8" s="386"/>
      <c r="F8" s="386"/>
      <c r="G8" s="386"/>
      <c r="H8" s="386"/>
      <c r="I8" s="89"/>
    </row>
    <row r="9" spans="1:8" ht="18">
      <c r="A9" s="386" t="s">
        <v>83</v>
      </c>
      <c r="B9" s="386"/>
      <c r="C9" s="386"/>
      <c r="D9" s="386"/>
      <c r="E9" s="386"/>
      <c r="F9" s="386"/>
      <c r="G9" s="386"/>
      <c r="H9" s="386"/>
    </row>
    <row r="10" ht="13.5" thickBot="1"/>
    <row r="11" spans="1:8" ht="31.5" customHeight="1" thickBot="1">
      <c r="A11" s="29" t="s">
        <v>40</v>
      </c>
      <c r="B11" s="30" t="s">
        <v>46</v>
      </c>
      <c r="C11" s="30" t="s">
        <v>47</v>
      </c>
      <c r="D11" s="30" t="s">
        <v>43</v>
      </c>
      <c r="E11" s="31" t="s">
        <v>42</v>
      </c>
      <c r="F11" s="30" t="s">
        <v>16</v>
      </c>
      <c r="G11" s="30" t="s">
        <v>48</v>
      </c>
      <c r="H11" s="121" t="s">
        <v>44</v>
      </c>
    </row>
    <row r="12" spans="1:8" ht="16.5" customHeight="1" hidden="1" thickBot="1">
      <c r="A12" s="212"/>
      <c r="B12" s="213"/>
      <c r="C12" s="213"/>
      <c r="D12" s="213"/>
      <c r="E12" s="302">
        <f>17.6/100</f>
        <v>0.17600000000000002</v>
      </c>
      <c r="F12" s="303">
        <v>13.5</v>
      </c>
      <c r="G12" s="213"/>
      <c r="H12" s="214"/>
    </row>
    <row r="13" spans="1:9" ht="33" customHeight="1" thickBot="1">
      <c r="A13" s="24" t="s">
        <v>84</v>
      </c>
      <c r="B13" s="92">
        <v>9</v>
      </c>
      <c r="C13" s="93">
        <v>8.26</v>
      </c>
      <c r="D13" s="93">
        <f>B13-C13</f>
        <v>0.7400000000000002</v>
      </c>
      <c r="E13" s="187">
        <f>(D13*$E$12)+D13</f>
        <v>0.8702400000000002</v>
      </c>
      <c r="F13" s="187">
        <f>D13/$F$12</f>
        <v>0.05481481481481483</v>
      </c>
      <c r="G13" s="204">
        <v>900</v>
      </c>
      <c r="H13" s="169">
        <f>(E13+F13)*G13</f>
        <v>832.5493333333336</v>
      </c>
      <c r="I13" s="190"/>
    </row>
    <row r="14" spans="1:9" ht="33" customHeight="1" thickBot="1">
      <c r="A14" s="135" t="s">
        <v>85</v>
      </c>
      <c r="B14" s="167">
        <v>9</v>
      </c>
      <c r="C14" s="168">
        <v>8.26</v>
      </c>
      <c r="D14" s="93">
        <f>B14-C14</f>
        <v>0.7400000000000002</v>
      </c>
      <c r="E14" s="187">
        <f>(D14*$E$12)+D14</f>
        <v>0.8702400000000002</v>
      </c>
      <c r="F14" s="187">
        <f>D14/$F$12</f>
        <v>0.05481481481481483</v>
      </c>
      <c r="G14" s="204">
        <v>900</v>
      </c>
      <c r="H14" s="169">
        <f>(E14+F14)*G14</f>
        <v>832.5493333333336</v>
      </c>
      <c r="I14" s="190"/>
    </row>
    <row r="15" spans="1:9" ht="33" customHeight="1" thickBot="1">
      <c r="A15" s="24" t="s">
        <v>86</v>
      </c>
      <c r="B15" s="170">
        <v>9</v>
      </c>
      <c r="C15" s="187">
        <v>8.26</v>
      </c>
      <c r="D15" s="93">
        <f>B15-C15</f>
        <v>0.7400000000000002</v>
      </c>
      <c r="E15" s="187">
        <f>(D15*$E$12)+D15</f>
        <v>0.8702400000000002</v>
      </c>
      <c r="F15" s="187">
        <f>D15/$F$12</f>
        <v>0.05481481481481483</v>
      </c>
      <c r="G15" s="204">
        <v>900</v>
      </c>
      <c r="H15" s="169">
        <f>(E15+F15)*G15</f>
        <v>832.5493333333336</v>
      </c>
      <c r="I15" s="191"/>
    </row>
    <row r="16" ht="22.5" customHeight="1">
      <c r="H16" s="189"/>
    </row>
    <row r="18" spans="6:9" ht="12.75">
      <c r="F18" s="268"/>
      <c r="G18" s="268"/>
      <c r="H18" s="311"/>
      <c r="I18" s="268"/>
    </row>
    <row r="19" spans="6:9" ht="12.75">
      <c r="F19" s="268"/>
      <c r="G19" s="268"/>
      <c r="H19" s="268"/>
      <c r="I19" s="268"/>
    </row>
    <row r="20" ht="13.5" thickBot="1"/>
    <row r="21" spans="1:8" ht="24" thickBot="1">
      <c r="A21" s="389" t="s">
        <v>103</v>
      </c>
      <c r="B21" s="390"/>
      <c r="C21" s="390"/>
      <c r="D21" s="390"/>
      <c r="E21" s="390"/>
      <c r="F21" s="390"/>
      <c r="G21" s="390"/>
      <c r="H21" s="390"/>
    </row>
    <row r="22" spans="1:8" ht="15" customHeight="1">
      <c r="A22" s="23"/>
      <c r="B22" s="23"/>
      <c r="C22" s="23"/>
      <c r="D22" s="23"/>
      <c r="E22" s="23"/>
      <c r="F22" s="23"/>
      <c r="G22" s="23"/>
      <c r="H22" s="23"/>
    </row>
    <row r="23" spans="1:8" ht="18">
      <c r="A23" s="386" t="s">
        <v>81</v>
      </c>
      <c r="B23" s="386"/>
      <c r="C23" s="386"/>
      <c r="D23" s="386"/>
      <c r="E23" s="386"/>
      <c r="F23" s="386"/>
      <c r="G23" s="386"/>
      <c r="H23" s="386"/>
    </row>
    <row r="24" spans="1:8" ht="18">
      <c r="A24" s="386" t="s">
        <v>82</v>
      </c>
      <c r="B24" s="386"/>
      <c r="C24" s="386"/>
      <c r="D24" s="386"/>
      <c r="E24" s="386"/>
      <c r="F24" s="386"/>
      <c r="G24" s="386"/>
      <c r="H24" s="386"/>
    </row>
    <row r="25" spans="1:8" ht="18">
      <c r="A25" s="386" t="s">
        <v>83</v>
      </c>
      <c r="B25" s="386"/>
      <c r="C25" s="386"/>
      <c r="D25" s="386"/>
      <c r="E25" s="386"/>
      <c r="F25" s="386"/>
      <c r="G25" s="386"/>
      <c r="H25" s="386"/>
    </row>
    <row r="26" ht="13.5" thickBot="1"/>
    <row r="27" spans="1:8" ht="26.25" thickBot="1">
      <c r="A27" s="29" t="s">
        <v>40</v>
      </c>
      <c r="B27" s="30" t="s">
        <v>46</v>
      </c>
      <c r="C27" s="30" t="s">
        <v>47</v>
      </c>
      <c r="D27" s="30" t="s">
        <v>43</v>
      </c>
      <c r="E27" s="31" t="s">
        <v>42</v>
      </c>
      <c r="F27" s="30" t="s">
        <v>16</v>
      </c>
      <c r="G27" s="30" t="s">
        <v>48</v>
      </c>
      <c r="H27" s="121" t="s">
        <v>44</v>
      </c>
    </row>
    <row r="28" spans="1:8" ht="19.5" customHeight="1" hidden="1" thickBot="1">
      <c r="A28" s="212"/>
      <c r="B28" s="213"/>
      <c r="C28" s="213"/>
      <c r="D28" s="213"/>
      <c r="E28" s="302">
        <f>17.6/100</f>
        <v>0.17600000000000002</v>
      </c>
      <c r="F28" s="303">
        <v>13.5</v>
      </c>
      <c r="G28" s="213"/>
      <c r="H28" s="214"/>
    </row>
    <row r="29" spans="1:8" ht="26.25" thickBot="1">
      <c r="A29" s="24" t="s">
        <v>84</v>
      </c>
      <c r="B29" s="92">
        <v>3</v>
      </c>
      <c r="C29" s="93"/>
      <c r="D29" s="93">
        <f>B29-C29</f>
        <v>3</v>
      </c>
      <c r="E29" s="93">
        <f>(D29*$E$28)+D29</f>
        <v>3.528</v>
      </c>
      <c r="F29" s="187">
        <f>D29/$F$28</f>
        <v>0.2222222222222222</v>
      </c>
      <c r="G29" s="204">
        <v>390</v>
      </c>
      <c r="H29" s="169">
        <f>(E29+F29)*G29</f>
        <v>1462.5866666666668</v>
      </c>
    </row>
    <row r="30" spans="1:8" ht="26.25" thickBot="1">
      <c r="A30" s="135" t="s">
        <v>85</v>
      </c>
      <c r="B30" s="167">
        <v>3</v>
      </c>
      <c r="C30" s="168"/>
      <c r="D30" s="93">
        <f>B30-C30</f>
        <v>3</v>
      </c>
      <c r="E30" s="93">
        <f>(D30*$E$28)+D30</f>
        <v>3.528</v>
      </c>
      <c r="F30" s="187">
        <f>D30/$F$28</f>
        <v>0.2222222222222222</v>
      </c>
      <c r="G30" s="204">
        <v>390</v>
      </c>
      <c r="H30" s="169">
        <f>(E30+F30)*G30</f>
        <v>1462.5866666666668</v>
      </c>
    </row>
    <row r="31" spans="1:8" ht="26.25" thickBot="1">
      <c r="A31" s="24" t="s">
        <v>86</v>
      </c>
      <c r="B31" s="170">
        <v>3</v>
      </c>
      <c r="C31" s="187"/>
      <c r="D31" s="93">
        <f>B31-C31</f>
        <v>3</v>
      </c>
      <c r="E31" s="93">
        <f>(D31*$E$28)+D31</f>
        <v>3.528</v>
      </c>
      <c r="F31" s="187">
        <f>D31/$F$28</f>
        <v>0.2222222222222222</v>
      </c>
      <c r="G31" s="204">
        <v>390</v>
      </c>
      <c r="H31" s="169">
        <f>(E31+F31)*G31</f>
        <v>1462.5866666666668</v>
      </c>
    </row>
    <row r="32" ht="8.25" customHeight="1">
      <c r="H32" s="189"/>
    </row>
  </sheetData>
  <mergeCells count="8">
    <mergeCell ref="A9:H9"/>
    <mergeCell ref="A5:H5"/>
    <mergeCell ref="A7:H7"/>
    <mergeCell ref="A8:H8"/>
    <mergeCell ref="A25:H25"/>
    <mergeCell ref="A21:H21"/>
    <mergeCell ref="A23:H23"/>
    <mergeCell ref="A24:H24"/>
  </mergeCells>
  <printOptions/>
  <pageMargins left="0.53" right="0.57" top="0.25" bottom="0.31" header="0.18" footer="0.25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3.8515625" style="76" customWidth="1"/>
    <col min="2" max="2" width="30.7109375" style="76" customWidth="1"/>
    <col min="3" max="10" width="15.7109375" style="76" customWidth="1"/>
    <col min="11" max="16384" width="9.140625" style="76" customWidth="1"/>
  </cols>
  <sheetData>
    <row r="2" ht="15">
      <c r="B2" s="76" t="s">
        <v>54</v>
      </c>
    </row>
    <row r="4" ht="15.75" thickBot="1"/>
    <row r="5" spans="2:12" ht="18.75" thickBot="1">
      <c r="B5" s="365" t="s">
        <v>65</v>
      </c>
      <c r="C5" s="366"/>
      <c r="D5" s="366"/>
      <c r="E5" s="366"/>
      <c r="F5" s="366"/>
      <c r="G5" s="366"/>
      <c r="H5" s="366"/>
      <c r="I5" s="366"/>
      <c r="J5" s="366"/>
      <c r="K5" s="77"/>
      <c r="L5" s="77"/>
    </row>
    <row r="7" spans="2:10" ht="18" customHeight="1">
      <c r="B7" s="391" t="s">
        <v>81</v>
      </c>
      <c r="C7" s="391"/>
      <c r="D7" s="391"/>
      <c r="E7" s="391"/>
      <c r="F7" s="391"/>
      <c r="G7" s="391"/>
      <c r="H7" s="391"/>
      <c r="I7" s="391"/>
      <c r="J7" s="391"/>
    </row>
    <row r="8" spans="2:10" ht="18" customHeight="1">
      <c r="B8" s="391" t="s">
        <v>82</v>
      </c>
      <c r="C8" s="391"/>
      <c r="D8" s="391"/>
      <c r="E8" s="391"/>
      <c r="F8" s="391"/>
      <c r="G8" s="391"/>
      <c r="H8" s="391"/>
      <c r="I8" s="391"/>
      <c r="J8" s="391"/>
    </row>
    <row r="9" spans="2:10" ht="18" customHeight="1">
      <c r="B9" s="391" t="s">
        <v>83</v>
      </c>
      <c r="C9" s="391"/>
      <c r="D9" s="391"/>
      <c r="E9" s="391"/>
      <c r="F9" s="391"/>
      <c r="G9" s="391"/>
      <c r="H9" s="391"/>
      <c r="I9" s="391"/>
      <c r="J9" s="391"/>
    </row>
    <row r="11" ht="15.75" thickBot="1"/>
    <row r="12" spans="2:10" ht="49.5" customHeight="1" thickBot="1">
      <c r="B12" s="80" t="s">
        <v>63</v>
      </c>
      <c r="C12" s="137" t="s">
        <v>46</v>
      </c>
      <c r="D12" s="137" t="s">
        <v>47</v>
      </c>
      <c r="E12" s="137" t="s">
        <v>43</v>
      </c>
      <c r="F12" s="137" t="s">
        <v>42</v>
      </c>
      <c r="G12" s="137" t="s">
        <v>16</v>
      </c>
      <c r="H12" s="136" t="s">
        <v>7</v>
      </c>
      <c r="I12" s="137" t="s">
        <v>70</v>
      </c>
      <c r="J12" s="138" t="s">
        <v>71</v>
      </c>
    </row>
    <row r="13" spans="2:10" ht="24.75" customHeight="1" hidden="1">
      <c r="B13" s="205"/>
      <c r="C13" s="206"/>
      <c r="D13" s="206"/>
      <c r="E13" s="206"/>
      <c r="F13" s="298">
        <v>0.176</v>
      </c>
      <c r="G13" s="299">
        <v>13.5</v>
      </c>
      <c r="H13" s="207"/>
      <c r="I13" s="206"/>
      <c r="J13" s="208"/>
    </row>
    <row r="14" spans="2:10" ht="39.75" customHeight="1">
      <c r="B14" s="144" t="s">
        <v>88</v>
      </c>
      <c r="C14" s="141">
        <v>2.5</v>
      </c>
      <c r="D14" s="141"/>
      <c r="E14" s="141">
        <f>C14-D14</f>
        <v>2.5</v>
      </c>
      <c r="F14" s="141">
        <f>E14*$F$13+E14</f>
        <v>2.94</v>
      </c>
      <c r="G14" s="141">
        <f>E14/$G$13</f>
        <v>0.18518518518518517</v>
      </c>
      <c r="H14" s="209">
        <f>F14+G14</f>
        <v>3.125185185185185</v>
      </c>
      <c r="I14" s="210">
        <v>10000</v>
      </c>
      <c r="J14" s="211">
        <f>H14*I14</f>
        <v>31251.85185185185</v>
      </c>
    </row>
    <row r="15" spans="2:10" ht="39.75" customHeight="1">
      <c r="B15" s="144" t="s">
        <v>89</v>
      </c>
      <c r="C15" s="141">
        <v>2.5</v>
      </c>
      <c r="D15" s="141"/>
      <c r="E15" s="141">
        <f>C15-D15</f>
        <v>2.5</v>
      </c>
      <c r="F15" s="141">
        <f>E15*$F$13+E15</f>
        <v>2.94</v>
      </c>
      <c r="G15" s="141">
        <f>E15/$G$13</f>
        <v>0.18518518518518517</v>
      </c>
      <c r="H15" s="209">
        <f>F15+G15</f>
        <v>3.125185185185185</v>
      </c>
      <c r="I15" s="210">
        <v>1500</v>
      </c>
      <c r="J15" s="211">
        <f>H15*I15</f>
        <v>4687.777777777777</v>
      </c>
    </row>
    <row r="16" spans="2:10" ht="45" customHeight="1" thickBot="1">
      <c r="B16" s="144" t="s">
        <v>90</v>
      </c>
      <c r="C16" s="141">
        <v>2.5</v>
      </c>
      <c r="D16" s="141"/>
      <c r="E16" s="141">
        <f>C16-D16</f>
        <v>2.5</v>
      </c>
      <c r="F16" s="141">
        <f>E16*$F$13+E16</f>
        <v>2.94</v>
      </c>
      <c r="G16" s="141">
        <f>E16/$G$13</f>
        <v>0.18518518518518517</v>
      </c>
      <c r="H16" s="209">
        <f>F16+G16</f>
        <v>3.125185185185185</v>
      </c>
      <c r="I16" s="210">
        <v>90</v>
      </c>
      <c r="J16" s="211">
        <f>H16*I16</f>
        <v>281.26666666666665</v>
      </c>
    </row>
    <row r="17" spans="2:10" ht="39.75" customHeight="1" thickBot="1">
      <c r="B17" s="139"/>
      <c r="C17" s="142"/>
      <c r="D17" s="142"/>
      <c r="E17" s="142"/>
      <c r="F17" s="143"/>
      <c r="G17" s="143"/>
      <c r="H17" s="143"/>
      <c r="I17" s="143"/>
      <c r="J17" s="140">
        <f>SUM(J14:J16)</f>
        <v>36220.8962962963</v>
      </c>
    </row>
    <row r="18" ht="15">
      <c r="B18" s="286"/>
    </row>
    <row r="21" ht="15">
      <c r="B21" s="139"/>
    </row>
    <row r="24" ht="15">
      <c r="G24" s="4"/>
    </row>
    <row r="25" ht="15">
      <c r="G25" s="4"/>
    </row>
    <row r="26" spans="7:10" ht="15">
      <c r="G26" s="4"/>
      <c r="J26" s="109"/>
    </row>
    <row r="29" ht="15">
      <c r="J29" s="115"/>
    </row>
    <row r="32" ht="15">
      <c r="E32" s="109"/>
    </row>
  </sheetData>
  <mergeCells count="4">
    <mergeCell ref="B9:J9"/>
    <mergeCell ref="B5:J5"/>
    <mergeCell ref="B7:J7"/>
    <mergeCell ref="B8:J8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5"/>
  <sheetViews>
    <sheetView zoomScale="80" zoomScaleNormal="80" workbookViewId="0" topLeftCell="A4">
      <selection activeCell="E20" sqref="E20"/>
    </sheetView>
  </sheetViews>
  <sheetFormatPr defaultColWidth="9.140625" defaultRowHeight="12.75"/>
  <cols>
    <col min="1" max="1" width="7.8515625" style="0" customWidth="1"/>
    <col min="3" max="3" width="8.28125" style="0" customWidth="1"/>
    <col min="4" max="4" width="8.140625" style="0" customWidth="1"/>
    <col min="5" max="5" width="17.7109375" style="0" customWidth="1"/>
    <col min="6" max="6" width="12.7109375" style="0" hidden="1" customWidth="1"/>
    <col min="7" max="7" width="18.7109375" style="0" hidden="1" customWidth="1"/>
    <col min="8" max="8" width="12.57421875" style="0" hidden="1" customWidth="1"/>
    <col min="9" max="9" width="15.57421875" style="0" hidden="1" customWidth="1"/>
    <col min="10" max="10" width="9.8515625" style="0" hidden="1" customWidth="1"/>
    <col min="11" max="12" width="16.7109375" style="0" customWidth="1"/>
    <col min="13" max="13" width="11.8515625" style="0" hidden="1" customWidth="1"/>
    <col min="14" max="14" width="12.00390625" style="0" customWidth="1"/>
    <col min="15" max="15" width="8.28125" style="0" hidden="1" customWidth="1"/>
    <col min="16" max="16" width="14.00390625" style="0" customWidth="1"/>
    <col min="17" max="17" width="15.57421875" style="0" customWidth="1"/>
    <col min="18" max="18" width="17.57421875" style="0" customWidth="1"/>
    <col min="19" max="19" width="15.421875" style="0" hidden="1" customWidth="1"/>
  </cols>
  <sheetData>
    <row r="2" ht="18">
      <c r="B2" s="43" t="s">
        <v>55</v>
      </c>
    </row>
    <row r="4" ht="13.5" thickBot="1"/>
    <row r="5" spans="1:19" ht="24" thickBot="1">
      <c r="A5" s="387" t="s">
        <v>118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75"/>
    </row>
    <row r="6" spans="1:19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8" spans="1:19" ht="18">
      <c r="A8" s="386" t="s">
        <v>81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89"/>
    </row>
    <row r="9" spans="1:19" ht="18">
      <c r="A9" s="386" t="s">
        <v>82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89"/>
    </row>
    <row r="10" spans="1:18" ht="18">
      <c r="A10" s="386" t="s">
        <v>83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</row>
    <row r="11" ht="13.5" thickBot="1"/>
    <row r="12" spans="1:18" ht="75.75" customHeight="1" thickBot="1">
      <c r="A12" s="376" t="s">
        <v>40</v>
      </c>
      <c r="B12" s="377"/>
      <c r="C12" s="405" t="s">
        <v>129</v>
      </c>
      <c r="D12" s="406"/>
      <c r="E12" s="32" t="s">
        <v>119</v>
      </c>
      <c r="F12" s="31"/>
      <c r="G12" s="32" t="s">
        <v>67</v>
      </c>
      <c r="H12" s="31"/>
      <c r="I12" s="32" t="s">
        <v>68</v>
      </c>
      <c r="J12" s="94"/>
      <c r="K12" s="31" t="s">
        <v>130</v>
      </c>
      <c r="L12" s="127" t="s">
        <v>131</v>
      </c>
      <c r="M12" s="31"/>
      <c r="N12" s="32" t="s">
        <v>153</v>
      </c>
      <c r="O12" s="31"/>
      <c r="P12" s="32" t="s">
        <v>7</v>
      </c>
      <c r="Q12" s="132" t="s">
        <v>133</v>
      </c>
      <c r="R12" s="124" t="s">
        <v>132</v>
      </c>
    </row>
    <row r="13" spans="1:18" ht="26.25" customHeight="1" hidden="1" thickBot="1">
      <c r="A13" s="384"/>
      <c r="B13" s="385"/>
      <c r="C13" s="385"/>
      <c r="D13" s="378"/>
      <c r="E13" s="258"/>
      <c r="F13" s="257"/>
      <c r="G13" s="258"/>
      <c r="H13" s="257"/>
      <c r="I13" s="258"/>
      <c r="J13" s="26"/>
      <c r="K13" s="257"/>
      <c r="L13" s="293">
        <v>0.1472</v>
      </c>
      <c r="M13" s="300"/>
      <c r="N13" s="307">
        <v>0.0944</v>
      </c>
      <c r="O13" s="257"/>
      <c r="P13" s="258"/>
      <c r="Q13" s="270"/>
      <c r="R13" s="271"/>
    </row>
    <row r="14" spans="1:19" ht="31.5" customHeight="1">
      <c r="A14" s="399" t="s">
        <v>126</v>
      </c>
      <c r="B14" s="400"/>
      <c r="C14" s="392" t="s">
        <v>120</v>
      </c>
      <c r="D14" s="369"/>
      <c r="E14" s="130" t="s">
        <v>123</v>
      </c>
      <c r="F14" s="27"/>
      <c r="G14" s="130">
        <v>0</v>
      </c>
      <c r="H14" s="27"/>
      <c r="I14" s="130" t="e">
        <f>E14-G14</f>
        <v>#VALUE!</v>
      </c>
      <c r="J14" s="27"/>
      <c r="K14" s="130">
        <v>15</v>
      </c>
      <c r="L14" s="130">
        <f aca="true" t="shared" si="0" ref="L14:L40">K14*$L$13</f>
        <v>2.208</v>
      </c>
      <c r="M14" s="27"/>
      <c r="N14" s="130">
        <f aca="true" t="shared" si="1" ref="N14:N40">K14*$N$13</f>
        <v>1.416</v>
      </c>
      <c r="O14" s="27"/>
      <c r="P14" s="274">
        <f aca="true" t="shared" si="2" ref="P14:P40">K14+L14+N14</f>
        <v>18.624</v>
      </c>
      <c r="Q14" s="177">
        <v>300</v>
      </c>
      <c r="R14" s="308">
        <f aca="true" t="shared" si="3" ref="R14:R40">P14*Q14</f>
        <v>5587.2</v>
      </c>
      <c r="S14" s="122"/>
    </row>
    <row r="15" spans="1:19" ht="31.5" customHeight="1">
      <c r="A15" s="401"/>
      <c r="B15" s="402"/>
      <c r="C15" s="393"/>
      <c r="D15" s="371"/>
      <c r="E15" s="128" t="s">
        <v>124</v>
      </c>
      <c r="F15" s="27"/>
      <c r="G15" s="130"/>
      <c r="H15" s="27"/>
      <c r="I15" s="130"/>
      <c r="J15" s="27"/>
      <c r="K15" s="130">
        <v>15</v>
      </c>
      <c r="L15" s="128">
        <f t="shared" si="0"/>
        <v>2.208</v>
      </c>
      <c r="M15" s="27"/>
      <c r="N15" s="128">
        <f t="shared" si="1"/>
        <v>1.416</v>
      </c>
      <c r="O15" s="27"/>
      <c r="P15" s="273">
        <f t="shared" si="2"/>
        <v>18.624</v>
      </c>
      <c r="Q15" s="172">
        <v>300</v>
      </c>
      <c r="R15" s="312">
        <f t="shared" si="3"/>
        <v>5587.2</v>
      </c>
      <c r="S15" s="122"/>
    </row>
    <row r="16" spans="1:19" ht="31.5" customHeight="1">
      <c r="A16" s="401"/>
      <c r="B16" s="402"/>
      <c r="C16" s="394"/>
      <c r="D16" s="395"/>
      <c r="E16" s="128" t="s">
        <v>125</v>
      </c>
      <c r="F16" s="27"/>
      <c r="G16" s="130"/>
      <c r="H16" s="27"/>
      <c r="I16" s="130"/>
      <c r="J16" s="27"/>
      <c r="K16" s="130">
        <v>10</v>
      </c>
      <c r="L16" s="128">
        <f t="shared" si="0"/>
        <v>1.472</v>
      </c>
      <c r="M16" s="27"/>
      <c r="N16" s="128">
        <f t="shared" si="1"/>
        <v>0.944</v>
      </c>
      <c r="O16" s="27"/>
      <c r="P16" s="273">
        <f t="shared" si="2"/>
        <v>12.416</v>
      </c>
      <c r="Q16" s="172">
        <v>300</v>
      </c>
      <c r="R16" s="312">
        <f t="shared" si="3"/>
        <v>3724.8</v>
      </c>
      <c r="S16" s="122"/>
    </row>
    <row r="17" spans="1:19" ht="31.5" customHeight="1">
      <c r="A17" s="401"/>
      <c r="B17" s="402"/>
      <c r="C17" s="396" t="s">
        <v>121</v>
      </c>
      <c r="D17" s="397"/>
      <c r="E17" s="128" t="s">
        <v>123</v>
      </c>
      <c r="F17" s="24"/>
      <c r="G17" s="128">
        <v>0</v>
      </c>
      <c r="H17" s="24"/>
      <c r="I17" s="128" t="e">
        <f>E17-G17</f>
        <v>#VALUE!</v>
      </c>
      <c r="J17" s="24"/>
      <c r="K17" s="128">
        <f>15-15*25/100</f>
        <v>11.25</v>
      </c>
      <c r="L17" s="128">
        <f t="shared" si="0"/>
        <v>1.656</v>
      </c>
      <c r="M17" s="24"/>
      <c r="N17" s="128">
        <f t="shared" si="1"/>
        <v>1.062</v>
      </c>
      <c r="O17" s="24"/>
      <c r="P17" s="273">
        <f t="shared" si="2"/>
        <v>13.968</v>
      </c>
      <c r="Q17" s="129">
        <v>100</v>
      </c>
      <c r="R17" s="312">
        <f t="shared" si="3"/>
        <v>1396.8</v>
      </c>
      <c r="S17" s="122"/>
    </row>
    <row r="18" spans="1:19" ht="31.5" customHeight="1">
      <c r="A18" s="401"/>
      <c r="B18" s="402"/>
      <c r="C18" s="393"/>
      <c r="D18" s="371"/>
      <c r="E18" s="128" t="s">
        <v>124</v>
      </c>
      <c r="F18" s="24"/>
      <c r="G18" s="128"/>
      <c r="H18" s="24"/>
      <c r="I18" s="128"/>
      <c r="J18" s="24"/>
      <c r="K18" s="128">
        <f>15-15*25/100</f>
        <v>11.25</v>
      </c>
      <c r="L18" s="128">
        <f t="shared" si="0"/>
        <v>1.656</v>
      </c>
      <c r="M18" s="24"/>
      <c r="N18" s="128">
        <f t="shared" si="1"/>
        <v>1.062</v>
      </c>
      <c r="O18" s="24"/>
      <c r="P18" s="273">
        <f t="shared" si="2"/>
        <v>13.968</v>
      </c>
      <c r="Q18" s="129">
        <v>100</v>
      </c>
      <c r="R18" s="312">
        <f t="shared" si="3"/>
        <v>1396.8</v>
      </c>
      <c r="S18" s="122"/>
    </row>
    <row r="19" spans="1:19" ht="31.5" customHeight="1">
      <c r="A19" s="401"/>
      <c r="B19" s="402"/>
      <c r="C19" s="394"/>
      <c r="D19" s="395"/>
      <c r="E19" s="128" t="s">
        <v>125</v>
      </c>
      <c r="F19" s="24"/>
      <c r="G19" s="128"/>
      <c r="H19" s="24"/>
      <c r="I19" s="128"/>
      <c r="J19" s="24"/>
      <c r="K19" s="128">
        <f>10-10*25/100</f>
        <v>7.5</v>
      </c>
      <c r="L19" s="128">
        <f t="shared" si="0"/>
        <v>1.104</v>
      </c>
      <c r="M19" s="24"/>
      <c r="N19" s="128">
        <f t="shared" si="1"/>
        <v>0.708</v>
      </c>
      <c r="O19" s="24"/>
      <c r="P19" s="273">
        <f t="shared" si="2"/>
        <v>9.312</v>
      </c>
      <c r="Q19" s="129">
        <v>100</v>
      </c>
      <c r="R19" s="312">
        <f t="shared" si="3"/>
        <v>931.1999999999999</v>
      </c>
      <c r="S19" s="122"/>
    </row>
    <row r="20" spans="1:19" ht="31.5" customHeight="1">
      <c r="A20" s="401"/>
      <c r="B20" s="402"/>
      <c r="C20" s="396" t="s">
        <v>122</v>
      </c>
      <c r="D20" s="397"/>
      <c r="E20" s="128" t="s">
        <v>123</v>
      </c>
      <c r="F20" s="24"/>
      <c r="G20" s="128"/>
      <c r="H20" s="24"/>
      <c r="I20" s="128"/>
      <c r="J20" s="24"/>
      <c r="K20" s="128">
        <f>15-15*50/100</f>
        <v>7.5</v>
      </c>
      <c r="L20" s="128">
        <f t="shared" si="0"/>
        <v>1.104</v>
      </c>
      <c r="M20" s="24"/>
      <c r="N20" s="128">
        <f t="shared" si="1"/>
        <v>0.708</v>
      </c>
      <c r="O20" s="24"/>
      <c r="P20" s="273">
        <f t="shared" si="2"/>
        <v>9.312</v>
      </c>
      <c r="Q20" s="129">
        <v>100</v>
      </c>
      <c r="R20" s="312">
        <f t="shared" si="3"/>
        <v>931.1999999999999</v>
      </c>
      <c r="S20" s="122"/>
    </row>
    <row r="21" spans="1:19" ht="31.5" customHeight="1">
      <c r="A21" s="401"/>
      <c r="B21" s="402"/>
      <c r="C21" s="393"/>
      <c r="D21" s="371"/>
      <c r="E21" s="128" t="s">
        <v>124</v>
      </c>
      <c r="F21" s="24"/>
      <c r="G21" s="128">
        <v>0</v>
      </c>
      <c r="H21" s="24"/>
      <c r="I21" s="128" t="e">
        <f>E21-G21</f>
        <v>#VALUE!</v>
      </c>
      <c r="J21" s="24"/>
      <c r="K21" s="128">
        <f>15-15*50/100</f>
        <v>7.5</v>
      </c>
      <c r="L21" s="128">
        <f t="shared" si="0"/>
        <v>1.104</v>
      </c>
      <c r="M21" s="24"/>
      <c r="N21" s="128">
        <f t="shared" si="1"/>
        <v>0.708</v>
      </c>
      <c r="O21" s="24"/>
      <c r="P21" s="273">
        <f t="shared" si="2"/>
        <v>9.312</v>
      </c>
      <c r="Q21" s="277">
        <v>100</v>
      </c>
      <c r="R21" s="312">
        <f t="shared" si="3"/>
        <v>931.1999999999999</v>
      </c>
      <c r="S21" s="122"/>
    </row>
    <row r="22" spans="1:19" ht="31.5" customHeight="1" thickBot="1">
      <c r="A22" s="403"/>
      <c r="B22" s="404"/>
      <c r="C22" s="398"/>
      <c r="D22" s="352"/>
      <c r="E22" s="272" t="s">
        <v>125</v>
      </c>
      <c r="F22" s="175"/>
      <c r="G22" s="175"/>
      <c r="H22" s="175"/>
      <c r="I22" s="175"/>
      <c r="J22" s="175"/>
      <c r="K22" s="272">
        <f>10-10*50/100</f>
        <v>5</v>
      </c>
      <c r="L22" s="272">
        <f t="shared" si="0"/>
        <v>0.736</v>
      </c>
      <c r="M22" s="175"/>
      <c r="N22" s="272">
        <f t="shared" si="1"/>
        <v>0.472</v>
      </c>
      <c r="O22" s="175"/>
      <c r="P22" s="272">
        <f t="shared" si="2"/>
        <v>6.208</v>
      </c>
      <c r="Q22" s="176">
        <v>100</v>
      </c>
      <c r="R22" s="313">
        <f t="shared" si="3"/>
        <v>620.8000000000001</v>
      </c>
      <c r="S22" s="122"/>
    </row>
    <row r="23" spans="1:19" ht="31.5" customHeight="1">
      <c r="A23" s="399" t="s">
        <v>127</v>
      </c>
      <c r="B23" s="400"/>
      <c r="C23" s="392" t="s">
        <v>120</v>
      </c>
      <c r="D23" s="369"/>
      <c r="E23" s="130" t="s">
        <v>123</v>
      </c>
      <c r="F23" s="27"/>
      <c r="G23" s="130">
        <v>0</v>
      </c>
      <c r="H23" s="27"/>
      <c r="I23" s="130" t="e">
        <f>E23-G23</f>
        <v>#VALUE!</v>
      </c>
      <c r="J23" s="27"/>
      <c r="K23" s="130">
        <v>15</v>
      </c>
      <c r="L23" s="130">
        <f t="shared" si="0"/>
        <v>2.208</v>
      </c>
      <c r="M23" s="27"/>
      <c r="N23" s="130">
        <f t="shared" si="1"/>
        <v>1.416</v>
      </c>
      <c r="O23" s="28"/>
      <c r="P23" s="274">
        <f t="shared" si="2"/>
        <v>18.624</v>
      </c>
      <c r="Q23" s="177">
        <v>300</v>
      </c>
      <c r="R23" s="308">
        <f t="shared" si="3"/>
        <v>5587.2</v>
      </c>
      <c r="S23" s="122"/>
    </row>
    <row r="24" spans="1:19" ht="31.5" customHeight="1">
      <c r="A24" s="401"/>
      <c r="B24" s="402"/>
      <c r="C24" s="393"/>
      <c r="D24" s="371"/>
      <c r="E24" s="128" t="s">
        <v>124</v>
      </c>
      <c r="F24" s="27"/>
      <c r="G24" s="130"/>
      <c r="H24" s="27"/>
      <c r="I24" s="130"/>
      <c r="J24" s="27"/>
      <c r="K24" s="130">
        <v>15</v>
      </c>
      <c r="L24" s="128">
        <f t="shared" si="0"/>
        <v>2.208</v>
      </c>
      <c r="M24" s="27"/>
      <c r="N24" s="128">
        <f t="shared" si="1"/>
        <v>1.416</v>
      </c>
      <c r="O24" s="28"/>
      <c r="P24" s="273">
        <f t="shared" si="2"/>
        <v>18.624</v>
      </c>
      <c r="Q24" s="172">
        <v>300</v>
      </c>
      <c r="R24" s="312">
        <f t="shared" si="3"/>
        <v>5587.2</v>
      </c>
      <c r="S24" s="122"/>
    </row>
    <row r="25" spans="1:19" ht="31.5" customHeight="1">
      <c r="A25" s="401"/>
      <c r="B25" s="402"/>
      <c r="C25" s="394"/>
      <c r="D25" s="395"/>
      <c r="E25" s="128" t="s">
        <v>125</v>
      </c>
      <c r="F25" s="27"/>
      <c r="G25" s="130"/>
      <c r="H25" s="27"/>
      <c r="I25" s="130"/>
      <c r="J25" s="27"/>
      <c r="K25" s="130">
        <v>10</v>
      </c>
      <c r="L25" s="128">
        <f t="shared" si="0"/>
        <v>1.472</v>
      </c>
      <c r="M25" s="27"/>
      <c r="N25" s="128">
        <f t="shared" si="1"/>
        <v>0.944</v>
      </c>
      <c r="O25" s="28"/>
      <c r="P25" s="273">
        <f t="shared" si="2"/>
        <v>12.416</v>
      </c>
      <c r="Q25" s="172">
        <v>300</v>
      </c>
      <c r="R25" s="312">
        <f t="shared" si="3"/>
        <v>3724.8</v>
      </c>
      <c r="S25" s="122"/>
    </row>
    <row r="26" spans="1:19" s="279" customFormat="1" ht="31.5" customHeight="1">
      <c r="A26" s="401"/>
      <c r="B26" s="402"/>
      <c r="C26" s="396" t="s">
        <v>121</v>
      </c>
      <c r="D26" s="397"/>
      <c r="E26" s="128" t="s">
        <v>123</v>
      </c>
      <c r="F26" s="24"/>
      <c r="G26" s="128">
        <v>0</v>
      </c>
      <c r="H26" s="24"/>
      <c r="I26" s="128" t="e">
        <f>E26-G26</f>
        <v>#VALUE!</v>
      </c>
      <c r="J26" s="24"/>
      <c r="K26" s="128">
        <f>15-15*25/100</f>
        <v>11.25</v>
      </c>
      <c r="L26" s="128">
        <f t="shared" si="0"/>
        <v>1.656</v>
      </c>
      <c r="M26" s="24"/>
      <c r="N26" s="128">
        <f t="shared" si="1"/>
        <v>1.062</v>
      </c>
      <c r="O26" s="25"/>
      <c r="P26" s="273">
        <f t="shared" si="2"/>
        <v>13.968</v>
      </c>
      <c r="Q26" s="129">
        <v>100</v>
      </c>
      <c r="R26" s="312">
        <f t="shared" si="3"/>
        <v>1396.8</v>
      </c>
      <c r="S26" s="278"/>
    </row>
    <row r="27" spans="1:19" s="279" customFormat="1" ht="31.5" customHeight="1">
      <c r="A27" s="401"/>
      <c r="B27" s="402"/>
      <c r="C27" s="393"/>
      <c r="D27" s="371"/>
      <c r="E27" s="128" t="s">
        <v>124</v>
      </c>
      <c r="F27" s="24"/>
      <c r="G27" s="128"/>
      <c r="H27" s="24"/>
      <c r="I27" s="128"/>
      <c r="J27" s="24"/>
      <c r="K27" s="128">
        <f>15-15*25/100</f>
        <v>11.25</v>
      </c>
      <c r="L27" s="128">
        <f t="shared" si="0"/>
        <v>1.656</v>
      </c>
      <c r="M27" s="24"/>
      <c r="N27" s="128">
        <f t="shared" si="1"/>
        <v>1.062</v>
      </c>
      <c r="O27" s="25"/>
      <c r="P27" s="273">
        <f t="shared" si="2"/>
        <v>13.968</v>
      </c>
      <c r="Q27" s="129">
        <v>100</v>
      </c>
      <c r="R27" s="312">
        <f t="shared" si="3"/>
        <v>1396.8</v>
      </c>
      <c r="S27" s="278"/>
    </row>
    <row r="28" spans="1:19" s="279" customFormat="1" ht="31.5" customHeight="1">
      <c r="A28" s="401"/>
      <c r="B28" s="402"/>
      <c r="C28" s="394"/>
      <c r="D28" s="395"/>
      <c r="E28" s="128" t="s">
        <v>125</v>
      </c>
      <c r="F28" s="24"/>
      <c r="G28" s="128"/>
      <c r="H28" s="24"/>
      <c r="I28" s="128"/>
      <c r="J28" s="24"/>
      <c r="K28" s="128">
        <f>10-10*25/100</f>
        <v>7.5</v>
      </c>
      <c r="L28" s="128">
        <f t="shared" si="0"/>
        <v>1.104</v>
      </c>
      <c r="M28" s="24"/>
      <c r="N28" s="128">
        <f t="shared" si="1"/>
        <v>0.708</v>
      </c>
      <c r="O28" s="25"/>
      <c r="P28" s="273">
        <f t="shared" si="2"/>
        <v>9.312</v>
      </c>
      <c r="Q28" s="129">
        <v>100</v>
      </c>
      <c r="R28" s="312">
        <f t="shared" si="3"/>
        <v>931.1999999999999</v>
      </c>
      <c r="S28" s="278"/>
    </row>
    <row r="29" spans="1:19" ht="31.5" customHeight="1">
      <c r="A29" s="401"/>
      <c r="B29" s="402"/>
      <c r="C29" s="396" t="s">
        <v>122</v>
      </c>
      <c r="D29" s="397"/>
      <c r="E29" s="128" t="s">
        <v>123</v>
      </c>
      <c r="F29" s="24"/>
      <c r="G29" s="128">
        <v>0</v>
      </c>
      <c r="H29" s="24"/>
      <c r="I29" s="128" t="e">
        <f>E29-G29</f>
        <v>#VALUE!</v>
      </c>
      <c r="J29" s="24"/>
      <c r="K29" s="128">
        <f>15-15*50/100</f>
        <v>7.5</v>
      </c>
      <c r="L29" s="128">
        <f t="shared" si="0"/>
        <v>1.104</v>
      </c>
      <c r="M29" s="24"/>
      <c r="N29" s="128">
        <f t="shared" si="1"/>
        <v>0.708</v>
      </c>
      <c r="O29" s="25"/>
      <c r="P29" s="273">
        <f t="shared" si="2"/>
        <v>9.312</v>
      </c>
      <c r="Q29" s="129">
        <v>100</v>
      </c>
      <c r="R29" s="312">
        <f t="shared" si="3"/>
        <v>931.1999999999999</v>
      </c>
      <c r="S29" s="122"/>
    </row>
    <row r="30" spans="1:19" ht="31.5" customHeight="1">
      <c r="A30" s="401"/>
      <c r="B30" s="402"/>
      <c r="C30" s="393"/>
      <c r="D30" s="371"/>
      <c r="E30" s="128" t="s">
        <v>124</v>
      </c>
      <c r="F30" s="135"/>
      <c r="G30" s="276"/>
      <c r="H30" s="135"/>
      <c r="I30" s="276"/>
      <c r="J30" s="135"/>
      <c r="K30" s="128">
        <f>15-15*50/100</f>
        <v>7.5</v>
      </c>
      <c r="L30" s="128">
        <f t="shared" si="0"/>
        <v>1.104</v>
      </c>
      <c r="M30" s="135"/>
      <c r="N30" s="128">
        <f t="shared" si="1"/>
        <v>0.708</v>
      </c>
      <c r="O30" s="280"/>
      <c r="P30" s="273">
        <f t="shared" si="2"/>
        <v>9.312</v>
      </c>
      <c r="Q30" s="277">
        <v>100</v>
      </c>
      <c r="R30" s="312">
        <f t="shared" si="3"/>
        <v>931.1999999999999</v>
      </c>
      <c r="S30" s="122"/>
    </row>
    <row r="31" spans="1:19" ht="31.5" customHeight="1" thickBot="1">
      <c r="A31" s="403"/>
      <c r="B31" s="404"/>
      <c r="C31" s="398"/>
      <c r="D31" s="352"/>
      <c r="E31" s="272" t="s">
        <v>125</v>
      </c>
      <c r="F31" s="175"/>
      <c r="G31" s="175"/>
      <c r="H31" s="175"/>
      <c r="I31" s="175"/>
      <c r="J31" s="175"/>
      <c r="K31" s="272">
        <f>10-10*50/100</f>
        <v>5</v>
      </c>
      <c r="L31" s="272">
        <f t="shared" si="0"/>
        <v>0.736</v>
      </c>
      <c r="M31" s="175"/>
      <c r="N31" s="272">
        <f t="shared" si="1"/>
        <v>0.472</v>
      </c>
      <c r="O31" s="175"/>
      <c r="P31" s="272">
        <f t="shared" si="2"/>
        <v>6.208</v>
      </c>
      <c r="Q31" s="176">
        <v>100</v>
      </c>
      <c r="R31" s="313">
        <f t="shared" si="3"/>
        <v>620.8000000000001</v>
      </c>
      <c r="S31" s="122"/>
    </row>
    <row r="32" spans="1:18" ht="31.5" customHeight="1">
      <c r="A32" s="399" t="s">
        <v>128</v>
      </c>
      <c r="B32" s="400"/>
      <c r="C32" s="392" t="s">
        <v>120</v>
      </c>
      <c r="D32" s="369"/>
      <c r="E32" s="130" t="s">
        <v>123</v>
      </c>
      <c r="F32" s="27"/>
      <c r="G32" s="130">
        <v>0</v>
      </c>
      <c r="H32" s="27"/>
      <c r="I32" s="130" t="e">
        <f>E32-G32</f>
        <v>#VALUE!</v>
      </c>
      <c r="J32" s="27"/>
      <c r="K32" s="130">
        <v>15</v>
      </c>
      <c r="L32" s="130">
        <f t="shared" si="0"/>
        <v>2.208</v>
      </c>
      <c r="M32" s="27"/>
      <c r="N32" s="130">
        <f t="shared" si="1"/>
        <v>1.416</v>
      </c>
      <c r="O32" s="28"/>
      <c r="P32" s="274">
        <f t="shared" si="2"/>
        <v>18.624</v>
      </c>
      <c r="Q32" s="177">
        <v>300</v>
      </c>
      <c r="R32" s="308">
        <f t="shared" si="3"/>
        <v>5587.2</v>
      </c>
    </row>
    <row r="33" spans="1:18" ht="32.25" customHeight="1">
      <c r="A33" s="401"/>
      <c r="B33" s="402"/>
      <c r="C33" s="393"/>
      <c r="D33" s="371"/>
      <c r="E33" s="128" t="s">
        <v>124</v>
      </c>
      <c r="F33" s="27"/>
      <c r="G33" s="130"/>
      <c r="H33" s="27"/>
      <c r="I33" s="130"/>
      <c r="J33" s="27"/>
      <c r="K33" s="130">
        <v>15</v>
      </c>
      <c r="L33" s="128">
        <f t="shared" si="0"/>
        <v>2.208</v>
      </c>
      <c r="M33" s="27"/>
      <c r="N33" s="128">
        <f t="shared" si="1"/>
        <v>1.416</v>
      </c>
      <c r="O33" s="28"/>
      <c r="P33" s="273">
        <f t="shared" si="2"/>
        <v>18.624</v>
      </c>
      <c r="Q33" s="172">
        <v>300</v>
      </c>
      <c r="R33" s="312">
        <f t="shared" si="3"/>
        <v>5587.2</v>
      </c>
    </row>
    <row r="34" spans="1:18" ht="31.5" customHeight="1">
      <c r="A34" s="401"/>
      <c r="B34" s="402"/>
      <c r="C34" s="394"/>
      <c r="D34" s="395"/>
      <c r="E34" s="128" t="s">
        <v>125</v>
      </c>
      <c r="F34" s="27"/>
      <c r="G34" s="130"/>
      <c r="H34" s="27"/>
      <c r="I34" s="130"/>
      <c r="J34" s="27"/>
      <c r="K34" s="130">
        <v>10</v>
      </c>
      <c r="L34" s="128">
        <f t="shared" si="0"/>
        <v>1.472</v>
      </c>
      <c r="M34" s="27"/>
      <c r="N34" s="128">
        <f t="shared" si="1"/>
        <v>0.944</v>
      </c>
      <c r="O34" s="28"/>
      <c r="P34" s="273">
        <f t="shared" si="2"/>
        <v>12.416</v>
      </c>
      <c r="Q34" s="172">
        <v>300</v>
      </c>
      <c r="R34" s="312">
        <f t="shared" si="3"/>
        <v>3724.8</v>
      </c>
    </row>
    <row r="35" spans="1:18" ht="31.5" customHeight="1">
      <c r="A35" s="401"/>
      <c r="B35" s="402"/>
      <c r="C35" s="396" t="s">
        <v>121</v>
      </c>
      <c r="D35" s="397"/>
      <c r="E35" s="128" t="s">
        <v>123</v>
      </c>
      <c r="F35" s="24"/>
      <c r="G35" s="128">
        <v>0</v>
      </c>
      <c r="H35" s="24"/>
      <c r="I35" s="128" t="e">
        <f>E35-G35</f>
        <v>#VALUE!</v>
      </c>
      <c r="J35" s="24"/>
      <c r="K35" s="128">
        <f>15-15*25/100</f>
        <v>11.25</v>
      </c>
      <c r="L35" s="128">
        <f t="shared" si="0"/>
        <v>1.656</v>
      </c>
      <c r="M35" s="24"/>
      <c r="N35" s="128">
        <f t="shared" si="1"/>
        <v>1.062</v>
      </c>
      <c r="O35" s="25"/>
      <c r="P35" s="273">
        <f t="shared" si="2"/>
        <v>13.968</v>
      </c>
      <c r="Q35" s="129">
        <v>100</v>
      </c>
      <c r="R35" s="312">
        <f t="shared" si="3"/>
        <v>1396.8</v>
      </c>
    </row>
    <row r="36" spans="1:18" ht="32.25" customHeight="1">
      <c r="A36" s="401"/>
      <c r="B36" s="402"/>
      <c r="C36" s="393"/>
      <c r="D36" s="371"/>
      <c r="E36" s="128" t="s">
        <v>124</v>
      </c>
      <c r="F36" s="24"/>
      <c r="G36" s="128"/>
      <c r="H36" s="24"/>
      <c r="I36" s="128"/>
      <c r="J36" s="24"/>
      <c r="K36" s="128">
        <f>15-15*25/100</f>
        <v>11.25</v>
      </c>
      <c r="L36" s="128">
        <f t="shared" si="0"/>
        <v>1.656</v>
      </c>
      <c r="M36" s="24"/>
      <c r="N36" s="128">
        <f t="shared" si="1"/>
        <v>1.062</v>
      </c>
      <c r="O36" s="25"/>
      <c r="P36" s="273">
        <f t="shared" si="2"/>
        <v>13.968</v>
      </c>
      <c r="Q36" s="129">
        <v>100</v>
      </c>
      <c r="R36" s="312">
        <f t="shared" si="3"/>
        <v>1396.8</v>
      </c>
    </row>
    <row r="37" spans="1:18" ht="31.5" customHeight="1">
      <c r="A37" s="401"/>
      <c r="B37" s="402"/>
      <c r="C37" s="394"/>
      <c r="D37" s="395"/>
      <c r="E37" s="128" t="s">
        <v>125</v>
      </c>
      <c r="F37" s="24"/>
      <c r="G37" s="128"/>
      <c r="H37" s="24"/>
      <c r="I37" s="128"/>
      <c r="J37" s="24"/>
      <c r="K37" s="128">
        <f>10-10*25/100</f>
        <v>7.5</v>
      </c>
      <c r="L37" s="128">
        <f t="shared" si="0"/>
        <v>1.104</v>
      </c>
      <c r="M37" s="24"/>
      <c r="N37" s="128">
        <f t="shared" si="1"/>
        <v>0.708</v>
      </c>
      <c r="O37" s="25"/>
      <c r="P37" s="273">
        <f t="shared" si="2"/>
        <v>9.312</v>
      </c>
      <c r="Q37" s="129">
        <v>100</v>
      </c>
      <c r="R37" s="312">
        <f t="shared" si="3"/>
        <v>931.1999999999999</v>
      </c>
    </row>
    <row r="38" spans="1:18" ht="31.5" customHeight="1">
      <c r="A38" s="401"/>
      <c r="B38" s="402"/>
      <c r="C38" s="396" t="s">
        <v>122</v>
      </c>
      <c r="D38" s="397"/>
      <c r="E38" s="128" t="s">
        <v>123</v>
      </c>
      <c r="F38" s="24"/>
      <c r="G38" s="128">
        <v>0</v>
      </c>
      <c r="H38" s="24"/>
      <c r="I38" s="128" t="e">
        <f>E38-G38</f>
        <v>#VALUE!</v>
      </c>
      <c r="J38" s="24"/>
      <c r="K38" s="128">
        <f>15-15*50/100</f>
        <v>7.5</v>
      </c>
      <c r="L38" s="128">
        <f t="shared" si="0"/>
        <v>1.104</v>
      </c>
      <c r="M38" s="24"/>
      <c r="N38" s="128">
        <f t="shared" si="1"/>
        <v>0.708</v>
      </c>
      <c r="O38" s="25"/>
      <c r="P38" s="273">
        <f t="shared" si="2"/>
        <v>9.312</v>
      </c>
      <c r="Q38" s="129">
        <v>100</v>
      </c>
      <c r="R38" s="312">
        <f t="shared" si="3"/>
        <v>931.1999999999999</v>
      </c>
    </row>
    <row r="39" spans="1:18" ht="32.25" customHeight="1">
      <c r="A39" s="401"/>
      <c r="B39" s="402"/>
      <c r="C39" s="393"/>
      <c r="D39" s="371"/>
      <c r="E39" s="128" t="s">
        <v>124</v>
      </c>
      <c r="F39" s="135"/>
      <c r="G39" s="276"/>
      <c r="H39" s="135"/>
      <c r="I39" s="276"/>
      <c r="J39" s="135"/>
      <c r="K39" s="128">
        <f>15-15*50/100</f>
        <v>7.5</v>
      </c>
      <c r="L39" s="128">
        <f t="shared" si="0"/>
        <v>1.104</v>
      </c>
      <c r="M39" s="135"/>
      <c r="N39" s="128">
        <f t="shared" si="1"/>
        <v>0.708</v>
      </c>
      <c r="O39" s="280"/>
      <c r="P39" s="273">
        <f t="shared" si="2"/>
        <v>9.312</v>
      </c>
      <c r="Q39" s="277">
        <v>100</v>
      </c>
      <c r="R39" s="312">
        <f t="shared" si="3"/>
        <v>931.1999999999999</v>
      </c>
    </row>
    <row r="40" spans="1:18" ht="32.25" customHeight="1" thickBot="1">
      <c r="A40" s="403"/>
      <c r="B40" s="404"/>
      <c r="C40" s="398"/>
      <c r="D40" s="352"/>
      <c r="E40" s="272" t="s">
        <v>125</v>
      </c>
      <c r="F40" s="175"/>
      <c r="G40" s="175"/>
      <c r="H40" s="175"/>
      <c r="I40" s="175"/>
      <c r="J40" s="175"/>
      <c r="K40" s="272">
        <f>10-10*50/100</f>
        <v>5</v>
      </c>
      <c r="L40" s="272">
        <f t="shared" si="0"/>
        <v>0.736</v>
      </c>
      <c r="M40" s="175"/>
      <c r="N40" s="272">
        <f t="shared" si="1"/>
        <v>0.472</v>
      </c>
      <c r="O40" s="175"/>
      <c r="P40" s="272">
        <f t="shared" si="2"/>
        <v>6.208</v>
      </c>
      <c r="Q40" s="176">
        <v>100</v>
      </c>
      <c r="R40" s="313">
        <f t="shared" si="3"/>
        <v>620.8000000000001</v>
      </c>
    </row>
    <row r="43" spans="17:18" ht="20.25" customHeight="1">
      <c r="Q43" s="149" t="s">
        <v>134</v>
      </c>
      <c r="R43" s="150">
        <f>SUM(R14:R22)</f>
        <v>21107.2</v>
      </c>
    </row>
    <row r="44" spans="17:18" ht="20.25" customHeight="1">
      <c r="Q44" s="149" t="s">
        <v>135</v>
      </c>
      <c r="R44" s="146">
        <f>SUM(R23:R31)</f>
        <v>21107.2</v>
      </c>
    </row>
    <row r="45" spans="17:18" ht="20.25" customHeight="1">
      <c r="Q45" s="149" t="s">
        <v>136</v>
      </c>
      <c r="R45" s="146">
        <f>SUM(R32:R40)</f>
        <v>21107.2</v>
      </c>
    </row>
  </sheetData>
  <mergeCells count="20">
    <mergeCell ref="A32:B40"/>
    <mergeCell ref="C32:D34"/>
    <mergeCell ref="C35:D37"/>
    <mergeCell ref="C38:D40"/>
    <mergeCell ref="A12:B12"/>
    <mergeCell ref="C12:D12"/>
    <mergeCell ref="A13:B13"/>
    <mergeCell ref="C13:D13"/>
    <mergeCell ref="C14:D16"/>
    <mergeCell ref="C17:D19"/>
    <mergeCell ref="C20:D22"/>
    <mergeCell ref="A14:B22"/>
    <mergeCell ref="C23:D25"/>
    <mergeCell ref="C26:D28"/>
    <mergeCell ref="C29:D31"/>
    <mergeCell ref="A23:B31"/>
    <mergeCell ref="A10:R10"/>
    <mergeCell ref="A5:R5"/>
    <mergeCell ref="A8:R8"/>
    <mergeCell ref="A9:R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90" zoomScaleNormal="90" workbookViewId="0" topLeftCell="A1">
      <selection activeCell="B20" sqref="B20"/>
    </sheetView>
  </sheetViews>
  <sheetFormatPr defaultColWidth="9.140625" defaultRowHeight="12.75"/>
  <cols>
    <col min="1" max="4" width="20.7109375" style="0" customWidth="1"/>
    <col min="5" max="5" width="22.57421875" style="0" customWidth="1"/>
    <col min="6" max="6" width="20.8515625" style="0" customWidth="1"/>
    <col min="7" max="7" width="2.140625" style="0" customWidth="1"/>
    <col min="8" max="8" width="17.421875" style="0" customWidth="1"/>
  </cols>
  <sheetData>
    <row r="1" ht="25.5">
      <c r="C1" s="91"/>
    </row>
    <row r="2" spans="2:3" ht="25.5">
      <c r="B2" s="91"/>
      <c r="C2" s="91"/>
    </row>
    <row r="3" spans="2:3" ht="18">
      <c r="B3" t="s">
        <v>62</v>
      </c>
      <c r="C3" s="43"/>
    </row>
    <row r="5" ht="13.5" thickBot="1"/>
    <row r="6" spans="1:7" ht="24" thickBot="1">
      <c r="A6" s="389" t="s">
        <v>45</v>
      </c>
      <c r="B6" s="390"/>
      <c r="C6" s="390"/>
      <c r="D6" s="390"/>
      <c r="E6" s="390"/>
      <c r="F6" s="390"/>
      <c r="G6" s="192"/>
    </row>
    <row r="7" spans="1:7" ht="23.25" customHeight="1">
      <c r="A7" s="23"/>
      <c r="B7" s="23"/>
      <c r="C7" s="23"/>
      <c r="D7" s="23"/>
      <c r="E7" s="23"/>
      <c r="F7" s="23"/>
      <c r="G7" s="23"/>
    </row>
    <row r="8" ht="12.75">
      <c r="E8" s="268"/>
    </row>
    <row r="9" spans="1:7" ht="18">
      <c r="A9" s="386" t="s">
        <v>81</v>
      </c>
      <c r="B9" s="386"/>
      <c r="C9" s="386"/>
      <c r="D9" s="386"/>
      <c r="E9" s="386"/>
      <c r="F9" s="386"/>
      <c r="G9" s="89"/>
    </row>
    <row r="10" spans="1:7" ht="18">
      <c r="A10" s="386" t="s">
        <v>82</v>
      </c>
      <c r="B10" s="386"/>
      <c r="C10" s="386"/>
      <c r="D10" s="386"/>
      <c r="E10" s="386"/>
      <c r="F10" s="386"/>
      <c r="G10" s="89"/>
    </row>
    <row r="11" spans="1:6" ht="18">
      <c r="A11" s="386" t="s">
        <v>83</v>
      </c>
      <c r="B11" s="386"/>
      <c r="C11" s="386"/>
      <c r="D11" s="386"/>
      <c r="E11" s="386"/>
      <c r="F11" s="386"/>
    </row>
    <row r="12" ht="13.5" thickBot="1"/>
    <row r="13" spans="1:6" ht="31.5" customHeight="1" thickBot="1">
      <c r="A13" s="29" t="s">
        <v>40</v>
      </c>
      <c r="B13" s="30" t="s">
        <v>46</v>
      </c>
      <c r="C13" s="30" t="s">
        <v>47</v>
      </c>
      <c r="D13" s="30" t="s">
        <v>43</v>
      </c>
      <c r="E13" s="30" t="s">
        <v>91</v>
      </c>
      <c r="F13" s="121" t="s">
        <v>44</v>
      </c>
    </row>
    <row r="14" spans="1:6" ht="19.5" customHeight="1" hidden="1" thickBot="1">
      <c r="A14" s="212"/>
      <c r="B14" s="213"/>
      <c r="C14" s="213"/>
      <c r="D14" s="213"/>
      <c r="E14" s="213"/>
      <c r="F14" s="214"/>
    </row>
    <row r="15" spans="1:7" ht="33" customHeight="1" thickBot="1">
      <c r="A15" s="24" t="s">
        <v>84</v>
      </c>
      <c r="B15" s="92">
        <v>4</v>
      </c>
      <c r="C15" s="93">
        <v>2.1</v>
      </c>
      <c r="D15" s="93">
        <f>B15-C15</f>
        <v>1.9</v>
      </c>
      <c r="E15" s="188">
        <v>18199</v>
      </c>
      <c r="F15" s="169">
        <f>D15*E15</f>
        <v>34578.1</v>
      </c>
      <c r="G15" s="190"/>
    </row>
    <row r="16" spans="1:7" ht="33" customHeight="1" thickBot="1">
      <c r="A16" s="135" t="s">
        <v>85</v>
      </c>
      <c r="B16" s="167">
        <v>4</v>
      </c>
      <c r="C16" s="168">
        <v>2.1</v>
      </c>
      <c r="D16" s="93">
        <f>B16-C16</f>
        <v>1.9</v>
      </c>
      <c r="E16" s="188">
        <v>18199</v>
      </c>
      <c r="F16" s="169">
        <f>D16*E16</f>
        <v>34578.1</v>
      </c>
      <c r="G16" s="190"/>
    </row>
    <row r="17" spans="1:7" ht="33" customHeight="1" thickBot="1">
      <c r="A17" s="24" t="s">
        <v>86</v>
      </c>
      <c r="B17" s="170">
        <v>4</v>
      </c>
      <c r="C17" s="187">
        <v>2.1</v>
      </c>
      <c r="D17" s="93">
        <f>B17-C17</f>
        <v>1.9</v>
      </c>
      <c r="E17" s="188">
        <v>18199</v>
      </c>
      <c r="F17" s="169">
        <f>D17*E17</f>
        <v>34578.1</v>
      </c>
      <c r="G17" s="191"/>
    </row>
    <row r="18" ht="27" customHeight="1">
      <c r="F18" s="189"/>
    </row>
    <row r="20" ht="12.75">
      <c r="F20" s="9"/>
    </row>
  </sheetData>
  <mergeCells count="4">
    <mergeCell ref="A11:F11"/>
    <mergeCell ref="A6:F6"/>
    <mergeCell ref="A9:F9"/>
    <mergeCell ref="A10:F10"/>
  </mergeCells>
  <printOptions/>
  <pageMargins left="0.61" right="0.63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A.R.R.S.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A.R.R.S.</dc:creator>
  <cp:keywords/>
  <dc:description/>
  <cp:lastModifiedBy>A.R.R.S.</cp:lastModifiedBy>
  <cp:lastPrinted>2007-11-05T11:41:10Z</cp:lastPrinted>
  <dcterms:created xsi:type="dcterms:W3CDTF">1999-06-24T13:35:25Z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