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5055" tabRatio="601" activeTab="0"/>
  </bookViews>
  <sheets>
    <sheet name="RiepilogoRegione" sheetId="1" r:id="rId1"/>
    <sheet name="TabellacostiRegione" sheetId="2" r:id="rId2"/>
    <sheet name="CostiRialregione" sheetId="3" r:id="rId3"/>
    <sheet name="CostiPensRegione" sheetId="4" r:id="rId4"/>
    <sheet name="CostiBilregione" sheetId="5" r:id="rId5"/>
    <sheet name="RiepilogoEEll" sheetId="6" r:id="rId6"/>
    <sheet name="Tabella l" sheetId="7" r:id="rId7"/>
    <sheet name="TabellacostiEELL" sheetId="8" r:id="rId8"/>
    <sheet name="cOSTIRIALEELL2001DEF" sheetId="9" r:id="rId9"/>
    <sheet name="Costi PensEELL" sheetId="10" r:id="rId10"/>
    <sheet name="cOSTIRIALEELL2002DEF " sheetId="11" r:id="rId11"/>
    <sheet name="cOSTIbilingEELL" sheetId="12" r:id="rId12"/>
  </sheets>
  <definedNames>
    <definedName name="_xlnm.Print_Area" localSheetId="9">'Costi PensEELL'!$B$3:$E$23</definedName>
    <definedName name="_xlnm.Print_Area" localSheetId="11">'cOSTIbilingEELL'!$A$1:$L$53</definedName>
    <definedName name="_xlnm.Print_Area" localSheetId="4">'CostiBilregione'!$A$1:$N$24</definedName>
    <definedName name="_xlnm.Print_Area" localSheetId="3">'CostiPensRegione'!$B$2:$G$27</definedName>
    <definedName name="_xlnm.Print_Area" localSheetId="8">'cOSTIRIALEELL2001DEF'!$A$1:$AF$54</definedName>
    <definedName name="_xlnm.Print_Area" localSheetId="10">'cOSTIRIALEELL2002DEF '!$A$1:$Y$31</definedName>
    <definedName name="_xlnm.Print_Area" localSheetId="2">'CostiRialregione'!$A$1:$AD$24</definedName>
    <definedName name="_xlnm.Print_Area" localSheetId="5">'RiepilogoEEll'!$A$4:$F$43</definedName>
    <definedName name="_xlnm.Print_Area" localSheetId="0">'RiepilogoRegione'!$A$1:$F$37</definedName>
    <definedName name="_xlnm.Print_Area" localSheetId="6">'Tabella l'!$B$2:$L$35</definedName>
    <definedName name="_xlnm.Print_Area" localSheetId="1">'TabellacostiRegione'!$A$1:$K$191</definedName>
  </definedNames>
  <calcPr fullCalcOnLoad="1"/>
</workbook>
</file>

<file path=xl/comments3.xml><?xml version="1.0" encoding="utf-8"?>
<comments xmlns="http://schemas.openxmlformats.org/spreadsheetml/2006/main">
  <authors>
    <author>Cecca</author>
  </authors>
  <commentList>
    <comment ref="L17" authorId="0">
      <text>
        <r>
          <rPr>
            <b/>
            <sz val="8"/>
            <rFont val="Tahoma"/>
            <family val="0"/>
          </rPr>
          <t>Ricordarsi dei VVff
:</t>
        </r>
        <r>
          <rPr>
            <sz val="8"/>
            <rFont val="Tahoma"/>
            <family val="0"/>
          </rPr>
          <t xml:space="preserve">
con + di 5 anni
</t>
        </r>
      </text>
    </comment>
    <comment ref="L16" authorId="0">
      <text>
        <r>
          <rPr>
            <b/>
            <sz val="8"/>
            <rFont val="Tahoma"/>
            <family val="0"/>
          </rPr>
          <t>Cecca:</t>
        </r>
        <r>
          <rPr>
            <sz val="8"/>
            <rFont val="Tahoma"/>
            <family val="0"/>
          </rPr>
          <t xml:space="preserve">
Vigili con meno di 5 anni
</t>
        </r>
      </text>
    </comment>
  </commentList>
</comments>
</file>

<file path=xl/comments5.xml><?xml version="1.0" encoding="utf-8"?>
<comments xmlns="http://schemas.openxmlformats.org/spreadsheetml/2006/main">
  <authors>
    <author>Cecca</author>
  </authors>
  <commentList>
    <comment ref="I17" authorId="0">
      <text>
        <r>
          <rPr>
            <b/>
            <sz val="8"/>
            <rFont val="Tahoma"/>
            <family val="0"/>
          </rPr>
          <t>Ricordarsi dei VVff
:</t>
        </r>
        <r>
          <rPr>
            <sz val="8"/>
            <rFont val="Tahoma"/>
            <family val="0"/>
          </rPr>
          <t xml:space="preserve">
con + di 5 anni
</t>
        </r>
      </text>
    </comment>
    <comment ref="I16" authorId="0">
      <text>
        <r>
          <rPr>
            <b/>
            <sz val="8"/>
            <rFont val="Tahoma"/>
            <family val="0"/>
          </rPr>
          <t>Cecca:</t>
        </r>
        <r>
          <rPr>
            <sz val="8"/>
            <rFont val="Tahoma"/>
            <family val="0"/>
          </rPr>
          <t xml:space="preserve">
Vigili con meno di 5 anni
</t>
        </r>
      </text>
    </comment>
  </commentList>
</comments>
</file>

<file path=xl/sharedStrings.xml><?xml version="1.0" encoding="utf-8"?>
<sst xmlns="http://schemas.openxmlformats.org/spreadsheetml/2006/main" count="1024" uniqueCount="285">
  <si>
    <t>Sipendio</t>
  </si>
  <si>
    <t>Da ex liv.</t>
  </si>
  <si>
    <t xml:space="preserve">Trattamento tabellare  </t>
  </si>
  <si>
    <t>Posizione economica di primo inquadramento</t>
  </si>
  <si>
    <t xml:space="preserve">Trattamento economico di primo inquadramento </t>
  </si>
  <si>
    <t>Salario di professionalità attuale</t>
  </si>
  <si>
    <t>Salario di professionalità dopo primo inquadramento</t>
  </si>
  <si>
    <t>A1</t>
  </si>
  <si>
    <t>A2</t>
  </si>
  <si>
    <t>B1</t>
  </si>
  <si>
    <t>B2</t>
  </si>
  <si>
    <t>B3</t>
  </si>
  <si>
    <t>B4</t>
  </si>
  <si>
    <t>C2</t>
  </si>
  <si>
    <t>Numero dipendenti</t>
  </si>
  <si>
    <t>Riallineamento salario professionalità</t>
  </si>
  <si>
    <t>AUMENTO CONTRATTUALE</t>
  </si>
  <si>
    <t>AMMINISTRAZIONE REGIONALE</t>
  </si>
  <si>
    <t>Totale</t>
  </si>
  <si>
    <t>Numero</t>
  </si>
  <si>
    <t>Nr.dip EE.LL</t>
  </si>
  <si>
    <t>Livello</t>
  </si>
  <si>
    <t>ENTI LOCALI</t>
  </si>
  <si>
    <t>ok</t>
  </si>
  <si>
    <t>Numero Dipendenti Amministrazione Regionale</t>
  </si>
  <si>
    <t>Art. 4 Accordo 9 marzo 1999</t>
  </si>
  <si>
    <t>Periodo 1/11/98 - 31/12/1998</t>
  </si>
  <si>
    <t>Periodo 1/01/99 - 31/12/1999</t>
  </si>
  <si>
    <t>Periodo 1/07/99 - 31/12/1999</t>
  </si>
  <si>
    <t>Contratto Comparto Unico</t>
  </si>
  <si>
    <t>Incremento stipendio 1/01/99-31/12/99</t>
  </si>
  <si>
    <t xml:space="preserve">Incremento stipendio 1/11/98-31/12/98 </t>
  </si>
  <si>
    <t>Periodo 1/01/2000 - 31/12/2000</t>
  </si>
  <si>
    <t xml:space="preserve">Incremento stipendio 1/07/99-31/12/99 </t>
  </si>
  <si>
    <t xml:space="preserve">Incremento stipendio 1/01/2000-31/12/2000 </t>
  </si>
  <si>
    <t>Art. 4 Accordo 9 marzo 1999 e Contratto Comparto Unico</t>
  </si>
  <si>
    <t>RIALLINEAMENTO ECONOMICO</t>
  </si>
  <si>
    <t>Riallineamentostipendio</t>
  </si>
  <si>
    <t>RIEPILOGO COSTI</t>
  </si>
  <si>
    <t>Periodo</t>
  </si>
  <si>
    <t>Tabella a)</t>
  </si>
  <si>
    <t xml:space="preserve">Anno </t>
  </si>
  <si>
    <t>Oggetto</t>
  </si>
  <si>
    <t>Tabella b)</t>
  </si>
  <si>
    <t>Aumento Contratto Comparto Unico</t>
  </si>
  <si>
    <t>Tabella c)</t>
  </si>
  <si>
    <t>1/01/2000 - 31/12/2000</t>
  </si>
  <si>
    <t>1/07/99 - 31/12/99</t>
  </si>
  <si>
    <t>1/01/99 - 31/12/99</t>
  </si>
  <si>
    <t>1/11/98 - 31/12/98</t>
  </si>
  <si>
    <t>Tabella d)</t>
  </si>
  <si>
    <t>FONDO UNICO AZIENDALE</t>
  </si>
  <si>
    <t>Valore medio per ogni dipendente</t>
  </si>
  <si>
    <t xml:space="preserve">Totale fondo </t>
  </si>
  <si>
    <t>Numero complessivo dipendenti</t>
  </si>
  <si>
    <t>Tabella e)</t>
  </si>
  <si>
    <t>Fondo unico aziendale - Contratto Comparto unico</t>
  </si>
  <si>
    <t>Tabella f)</t>
  </si>
  <si>
    <t>Periodo 1/01/2001 - 31/12/2001</t>
  </si>
  <si>
    <t>Tabella g)</t>
  </si>
  <si>
    <t>1/01/2001 - 31/12/2001</t>
  </si>
  <si>
    <t xml:space="preserve">Art. 5 Accordo 9 marzo 1999 </t>
  </si>
  <si>
    <t>Periodo 1/01/99 - 31/12/99</t>
  </si>
  <si>
    <t xml:space="preserve">Riallineamento economico 1/01/1999 - 31/12/1999 </t>
  </si>
  <si>
    <t>Maggiore costo complessivo 1999</t>
  </si>
  <si>
    <t>Riallineamento economico - Art. 5 Accordo 9 marzo 1999</t>
  </si>
  <si>
    <t>Aumento contrattuale - Art. 4 Accordo 9 marzo 1999</t>
  </si>
  <si>
    <t>Aumento contrattuale - Art. 4 Accordo 9 marzo 1999 e Contratto Comparto Unico</t>
  </si>
  <si>
    <t>Tabella h)</t>
  </si>
  <si>
    <t>SALARIO DI RISULTATO</t>
  </si>
  <si>
    <t>Tabella i)</t>
  </si>
  <si>
    <t xml:space="preserve">Costo </t>
  </si>
  <si>
    <t>Costo complessivo annuo</t>
  </si>
  <si>
    <t>Fondo unico aziendale - Contratto Comparto Unico</t>
  </si>
  <si>
    <t>Tabella l)</t>
  </si>
  <si>
    <t>Tabella m)</t>
  </si>
  <si>
    <t>Maggiore costo complessivo 1998</t>
  </si>
  <si>
    <t xml:space="preserve">Riferimento </t>
  </si>
  <si>
    <t>Maggiore costo complessivo 2000</t>
  </si>
  <si>
    <t>Riallineamento economico 1/01/2000 - 31/12/2000</t>
  </si>
  <si>
    <t>Maggiore importo rispetto valore medio regionali</t>
  </si>
  <si>
    <t>Tabella n)</t>
  </si>
  <si>
    <t>1/01/2002 - 31/12/2002</t>
  </si>
  <si>
    <t>Maggiore costo</t>
  </si>
  <si>
    <t>Maggiore costo salario di risultato - Contratto Comparto Unico</t>
  </si>
  <si>
    <t>Riallineamento  profili professionali - Contratto Comparto Unico</t>
  </si>
  <si>
    <t>Periodo 1/01/2002 - 31/12/2002</t>
  </si>
  <si>
    <t>11 dodicesimi</t>
  </si>
  <si>
    <t>Stipendio I tranche da corrispondere</t>
  </si>
  <si>
    <t>Stipendio Il tranche da corrispondere</t>
  </si>
  <si>
    <t>due dodicesimi</t>
  </si>
  <si>
    <t>1/12/2000 - 31/12/2000</t>
  </si>
  <si>
    <t>Totale 2001</t>
  </si>
  <si>
    <t>Totale 2002</t>
  </si>
  <si>
    <t>Totale 2000</t>
  </si>
  <si>
    <t>due tredicesimi</t>
  </si>
  <si>
    <t>11 tredicesimi</t>
  </si>
  <si>
    <t>Periodo 1/01/2000 - 30/11/2000</t>
  </si>
  <si>
    <t>1/12/2000 - 30/11/2000</t>
  </si>
  <si>
    <t>1/01/2000 - 30/11/2000</t>
  </si>
  <si>
    <t>RIALLINEAMENTO  PROFILI PROFESSIONALI</t>
  </si>
  <si>
    <t>c</t>
  </si>
  <si>
    <t>2 tred</t>
  </si>
  <si>
    <t>11 tred</t>
  </si>
  <si>
    <t>Trattamento tabellare e LED</t>
  </si>
  <si>
    <t xml:space="preserve">Posizione economica di primo inquadramento </t>
  </si>
  <si>
    <t>Riallineamento stipendio</t>
  </si>
  <si>
    <t xml:space="preserve">Salario di professionalità attuale comune </t>
  </si>
  <si>
    <t>Acconto annuale riallineamento Accordo 9/3/99</t>
  </si>
  <si>
    <t>Totale Riallineamento  salario professionalità meno riallineamento ponte</t>
  </si>
  <si>
    <t>I tranche salario di prof. da corrispondere nel 2000</t>
  </si>
  <si>
    <t>I tranche Sal. Prof. da corripondere nel 2000 comprensiva dell'acconto art. 5 Accordo 9/3/99</t>
  </si>
  <si>
    <t>II tranche salario di prof. da corrispondere nel 2001</t>
  </si>
  <si>
    <t>Tranche stipendio da corrispondere</t>
  </si>
  <si>
    <t>Acconto mensile riallineamento acc. Ponte</t>
  </si>
  <si>
    <t>1 led</t>
  </si>
  <si>
    <t>2 led</t>
  </si>
  <si>
    <t xml:space="preserve">3 led </t>
  </si>
  <si>
    <t>4 led</t>
  </si>
  <si>
    <t>5 led</t>
  </si>
  <si>
    <t xml:space="preserve">6 led </t>
  </si>
  <si>
    <t>C1</t>
  </si>
  <si>
    <t>7 led</t>
  </si>
  <si>
    <t>Tredici dodicesimi</t>
  </si>
  <si>
    <t xml:space="preserve">Riallineamento a regime di stipendio </t>
  </si>
  <si>
    <t>Riallineamento a regime salario di professionalità</t>
  </si>
  <si>
    <t>A</t>
  </si>
  <si>
    <t>D</t>
  </si>
  <si>
    <t>2 dodicesimi</t>
  </si>
  <si>
    <t>2 tredicesimi</t>
  </si>
  <si>
    <t>IIS</t>
  </si>
  <si>
    <t>Periodi 1/11/2000 - 31/12/2000-----1/1/2001 - 31/12/2001------1/1/2002-31/12/2002</t>
  </si>
  <si>
    <t>11 dodic</t>
  </si>
  <si>
    <t>UNA TANTUM</t>
  </si>
  <si>
    <t>Conguaglio periodo 1/01/1998 - 31/12/1999</t>
  </si>
  <si>
    <t>Una Tantum</t>
  </si>
  <si>
    <t>1/01/1998 - 31/12/1999</t>
  </si>
  <si>
    <t>3 led</t>
  </si>
  <si>
    <t>6 led</t>
  </si>
  <si>
    <t>undici dodicesimi</t>
  </si>
  <si>
    <t>undici tredicesimi</t>
  </si>
  <si>
    <t>Importo                Una-Tantum</t>
  </si>
  <si>
    <t>Fondo previdenziale con situazione economica ante contratto di comparto</t>
  </si>
  <si>
    <t>INDENNITA' PER IL PERSONALE IN SERVIZIO</t>
  </si>
  <si>
    <t>PRESSO GLI UFFICI DI RAPPRESENTANZA DELLA REGIONE</t>
  </si>
  <si>
    <t>SEDI</t>
  </si>
  <si>
    <t>Importo mensile</t>
  </si>
  <si>
    <t>Importo annuale</t>
  </si>
  <si>
    <t>Importo annuale complessivo per il numero dei dipendenti</t>
  </si>
  <si>
    <t>Roma</t>
  </si>
  <si>
    <t>Parigi</t>
  </si>
  <si>
    <t>Bruxelles</t>
  </si>
  <si>
    <t>Indennità per il personale assegnato od in utilizzazione presso gli Uffici di rappresentanza della Regione</t>
  </si>
  <si>
    <t>TOTALE</t>
  </si>
  <si>
    <t>NORMALI</t>
  </si>
  <si>
    <t>CAPI</t>
  </si>
  <si>
    <t>GUARDIE</t>
  </si>
  <si>
    <t>Periodi 1/12/2000- 31/12/2000 e 1/01/2001 - 31/12/2001</t>
  </si>
  <si>
    <t>Tredici dodicesimi di IIS</t>
  </si>
  <si>
    <t>FONDO PREVIDENZIALE</t>
  </si>
  <si>
    <t>CON SITUAZIONE ECONOMICA ANTE CONTRATTO DI COMPARTO</t>
  </si>
  <si>
    <t>LIVELLO</t>
  </si>
  <si>
    <t>N. DIPENDENTI</t>
  </si>
  <si>
    <t>STIPENDIO ANNUO</t>
  </si>
  <si>
    <t>I.I.S.</t>
  </si>
  <si>
    <t>BILINGUISMO</t>
  </si>
  <si>
    <t>SALARIO PROF.</t>
  </si>
  <si>
    <t>SALARIO RISUL.</t>
  </si>
  <si>
    <t>SALARIO ACCESSORIO</t>
  </si>
  <si>
    <t>TOTALE ANNUALE</t>
  </si>
  <si>
    <t>TOTALE CON 13a</t>
  </si>
  <si>
    <t>TOTALE * DIPENDENTI</t>
  </si>
  <si>
    <t>1 LED</t>
  </si>
  <si>
    <t>2 LED</t>
  </si>
  <si>
    <t>3 LED</t>
  </si>
  <si>
    <t>4 LED</t>
  </si>
  <si>
    <t>5 LED</t>
  </si>
  <si>
    <t>6 LED</t>
  </si>
  <si>
    <t>7 LED</t>
  </si>
  <si>
    <t>COSTO AZIENDALE MASSIMO PER APPLICAZIONE FONDO PREVIDENZIALE</t>
  </si>
  <si>
    <t>%     =</t>
  </si>
  <si>
    <t>Riallineamento indennità di bilinguismo</t>
  </si>
  <si>
    <t>INDENNITA' DI BILINGUISMO ANNI 2000 - 2001 - 2002</t>
  </si>
  <si>
    <t>Annuale</t>
  </si>
  <si>
    <t xml:space="preserve">Trattamento  di primo inquadramento </t>
  </si>
  <si>
    <t>Totale incremento stipendio con oneri riflessi al 40%</t>
  </si>
  <si>
    <t>Maggiore Costo complessivo 1998 (3 mensilità) con oneri riflessi al 40%</t>
  </si>
  <si>
    <t>Maggiore Costo complessivo 1999 (13 mensilità) con oneri riflessi al 40%</t>
  </si>
  <si>
    <t>Maggiore Costo complessivo 1999 (7 mensilità) con oneri riflessi al 40%</t>
  </si>
  <si>
    <t>Totale una tantum con oneri riflessi al 40%</t>
  </si>
  <si>
    <t>Maggiore Costo complessivo 2000 (13 mensilità) con oneri riflessi al 40%</t>
  </si>
  <si>
    <t>Costo complessivo con oneri riflessi al 40%</t>
  </si>
  <si>
    <t>Costo annuale complessivo con oneri riflessi al 40%</t>
  </si>
  <si>
    <r>
      <t xml:space="preserve">Costo  riallineamento stipendio </t>
    </r>
    <r>
      <rPr>
        <sz val="10"/>
        <color indexed="10"/>
        <rFont val="Arial"/>
        <family val="2"/>
      </rPr>
      <t>1/12/2000 - 31/12/2000</t>
    </r>
    <r>
      <rPr>
        <sz val="10"/>
        <rFont val="Arial"/>
        <family val="2"/>
      </rPr>
      <t xml:space="preserve"> per numero dipendenti con oneri riflessi al 40% </t>
    </r>
  </si>
  <si>
    <r>
      <t xml:space="preserve">Costo riallineamento salario di professionalità </t>
    </r>
    <r>
      <rPr>
        <sz val="10"/>
        <color indexed="10"/>
        <rFont val="Arial"/>
        <family val="2"/>
      </rPr>
      <t>1/12/2000 - 31/12/2000</t>
    </r>
    <r>
      <rPr>
        <sz val="10"/>
        <rFont val="Arial"/>
        <family val="2"/>
      </rPr>
      <t xml:space="preserve"> per numero dipendenti con oneri riflessi al 40% </t>
    </r>
  </si>
  <si>
    <r>
      <t xml:space="preserve">Costo riallineamento indennità integrativa speciale </t>
    </r>
    <r>
      <rPr>
        <sz val="10"/>
        <color indexed="10"/>
        <rFont val="Arial"/>
        <family val="2"/>
      </rPr>
      <t>1/12/2000 - 31/12/2000</t>
    </r>
    <r>
      <rPr>
        <sz val="10"/>
        <rFont val="Arial"/>
        <family val="2"/>
      </rPr>
      <t xml:space="preserve"> per numero dipendenti con oneri riflessi al 40% </t>
    </r>
  </si>
  <si>
    <r>
      <t xml:space="preserve">Costo  riallineamento stipendio  </t>
    </r>
    <r>
      <rPr>
        <sz val="10"/>
        <color indexed="10"/>
        <rFont val="Arial"/>
        <family val="2"/>
      </rPr>
      <t>1/1/2001-30/11/2001</t>
    </r>
    <r>
      <rPr>
        <sz val="10"/>
        <rFont val="Arial"/>
        <family val="2"/>
      </rPr>
      <t xml:space="preserve"> per numero dipendenti con oneri riflessi al 40% </t>
    </r>
  </si>
  <si>
    <r>
      <t xml:space="preserve">Costo  riallineamento salario di professionalità </t>
    </r>
    <r>
      <rPr>
        <sz val="10"/>
        <color indexed="10"/>
        <rFont val="Arial"/>
        <family val="2"/>
      </rPr>
      <t>1/1/2001-30/11/2001</t>
    </r>
    <r>
      <rPr>
        <sz val="10"/>
        <rFont val="Arial"/>
        <family val="2"/>
      </rPr>
      <t xml:space="preserve">per numero dipendenti con oneri riflessi al 40% </t>
    </r>
  </si>
  <si>
    <r>
      <t xml:space="preserve">Costo riallineamento indennità integrativa speciale </t>
    </r>
    <r>
      <rPr>
        <sz val="10"/>
        <color indexed="10"/>
        <rFont val="Arial"/>
        <family val="2"/>
      </rPr>
      <t>1/01/2001 - 30/11/2001</t>
    </r>
    <r>
      <rPr>
        <sz val="10"/>
        <rFont val="Arial"/>
        <family val="2"/>
      </rPr>
      <t xml:space="preserve"> per numero dipendenti con oneri riflessi al 40% </t>
    </r>
  </si>
  <si>
    <r>
      <t xml:space="preserve">Costo  riallineamento stipendio </t>
    </r>
    <r>
      <rPr>
        <sz val="10"/>
        <color indexed="10"/>
        <rFont val="Arial"/>
        <family val="2"/>
      </rPr>
      <t>1/12/2001-31/12/2001</t>
    </r>
    <r>
      <rPr>
        <sz val="10"/>
        <rFont val="Arial"/>
        <family val="2"/>
      </rPr>
      <t xml:space="preserve"> per numero dipendenti con oneri riflessi al 40% </t>
    </r>
  </si>
  <si>
    <r>
      <t xml:space="preserve">Costo  riallineamento salario di professionalità </t>
    </r>
    <r>
      <rPr>
        <sz val="10"/>
        <color indexed="10"/>
        <rFont val="Arial"/>
        <family val="2"/>
      </rPr>
      <t>1/12/2001-31/12/2001</t>
    </r>
    <r>
      <rPr>
        <sz val="10"/>
        <rFont val="Arial"/>
        <family val="2"/>
      </rPr>
      <t xml:space="preserve">per numero dipendenti con oneri riflessi al 40% </t>
    </r>
  </si>
  <si>
    <r>
      <t xml:space="preserve">Costo riallineamento indennità integrativa speciale </t>
    </r>
    <r>
      <rPr>
        <sz val="10"/>
        <color indexed="10"/>
        <rFont val="Arial"/>
        <family val="2"/>
      </rPr>
      <t>1/12/2001 - 31/12/2001</t>
    </r>
    <r>
      <rPr>
        <sz val="10"/>
        <rFont val="Arial"/>
        <family val="2"/>
      </rPr>
      <t xml:space="preserve"> per numero dipendenti con oneri riflessi al 40% </t>
    </r>
  </si>
  <si>
    <r>
      <t xml:space="preserve">Costo  riallineamento stipendio </t>
    </r>
    <r>
      <rPr>
        <sz val="10"/>
        <color indexed="10"/>
        <rFont val="Arial"/>
        <family val="2"/>
      </rPr>
      <t>1/01/2002-31/12/2002</t>
    </r>
    <r>
      <rPr>
        <sz val="10"/>
        <rFont val="Arial"/>
        <family val="2"/>
      </rPr>
      <t xml:space="preserve"> per numero dipendenti con oneri riflessi al 40% </t>
    </r>
  </si>
  <si>
    <r>
      <t xml:space="preserve">Costo  riallineamento salario di professionalità </t>
    </r>
    <r>
      <rPr>
        <sz val="10"/>
        <color indexed="10"/>
        <rFont val="Arial"/>
        <family val="2"/>
      </rPr>
      <t>1/01/2002-31/12/2002</t>
    </r>
    <r>
      <rPr>
        <sz val="10"/>
        <rFont val="Arial"/>
        <family val="2"/>
      </rPr>
      <t xml:space="preserve"> per numero dipendenti con oneri riflessi al 40% </t>
    </r>
  </si>
  <si>
    <r>
      <t xml:space="preserve">Costo riallineamento indennità integrativa speciale </t>
    </r>
    <r>
      <rPr>
        <sz val="10"/>
        <color indexed="10"/>
        <rFont val="Arial"/>
        <family val="2"/>
      </rPr>
      <t>1/01/2002 - 31/12/2002</t>
    </r>
    <r>
      <rPr>
        <sz val="10"/>
        <rFont val="Arial"/>
        <family val="2"/>
      </rPr>
      <t xml:space="preserve"> per numero dipendenti con oneri riflessi al 40% </t>
    </r>
  </si>
  <si>
    <t>Riallineamento bilinguismo con oneri al 40%</t>
  </si>
  <si>
    <t>DIPENDENTI DI RUOLO</t>
  </si>
  <si>
    <t>DIPENDENTI NON DI RUOLO</t>
  </si>
  <si>
    <t>Totale incremento stipendio con oneri riflessi al 38%</t>
  </si>
  <si>
    <t>Maggiore Costo complessivo 1998 (3 mensilità) con oneri riflessi al 38%</t>
  </si>
  <si>
    <t>Periodo 1/07/2000 - 31/12/2000</t>
  </si>
  <si>
    <t>Maggiore Costo complessivo 1998 (13 mensilità) con oneri riflessi al 38%</t>
  </si>
  <si>
    <t>Costo Bilinguismo con oneri al 40% anno 2000</t>
  </si>
  <si>
    <t>Costo Bilinguismo con oneri al 40% anno 2001</t>
  </si>
  <si>
    <t>Costo Bilinguismo con oneri al 40% anno 2002</t>
  </si>
  <si>
    <t>Riallineamento stipendio con oneri al 40%</t>
  </si>
  <si>
    <t>Tranche annuale Stipendio da corrispondere con oneri al 40%</t>
  </si>
  <si>
    <t>Tranche annuale Sal. Prof. da corrispondere con oneri al 40%</t>
  </si>
  <si>
    <t>1/07/2000 - 31/12/2000</t>
  </si>
  <si>
    <t>Totale incremento stipendio con oneri riflessi al 39%</t>
  </si>
  <si>
    <t>Maggiore Costo complessivo 1998 (3 mensilità) con oneri riflessi al 39%</t>
  </si>
  <si>
    <t>Maggiore Costo complessivo 1999 (13 mensilità) con oneri riflessi al 39%</t>
  </si>
  <si>
    <t>Maggiore Costo complessivo 1999 (7 mensilità) con oneri riflessi al 39%</t>
  </si>
  <si>
    <t>Totale riallineamento economico con oneri riflessi al 39%</t>
  </si>
  <si>
    <t>Totale riallineamento economico con oneri riflessi al 40%</t>
  </si>
  <si>
    <t>Maggiore Costo complessivo 2000 (11 mensilità) con oneri riflessi al 40%</t>
  </si>
  <si>
    <t>Maggiore costo complessivo con oneri riflessi al 40%</t>
  </si>
  <si>
    <t>Riallineamento stipendio con oneri riflessi al 39%</t>
  </si>
  <si>
    <t>II tranche salario di prof. Con oneri al 39%</t>
  </si>
  <si>
    <r>
      <t xml:space="preserve">Tranche salario di prof ( l </t>
    </r>
    <r>
      <rPr>
        <sz val="10"/>
        <color indexed="10"/>
        <rFont val="Arial"/>
        <family val="2"/>
      </rPr>
      <t>tranche)</t>
    </r>
    <r>
      <rPr>
        <sz val="10"/>
        <rFont val="Arial"/>
        <family val="2"/>
      </rPr>
      <t xml:space="preserve">  con oneri riflessi al 40% comprensiva acconto art. 5 Accordo 9/3/99</t>
    </r>
  </si>
  <si>
    <r>
      <t xml:space="preserve">Costo  riallineamento stipendio  1 </t>
    </r>
    <r>
      <rPr>
        <sz val="10"/>
        <color indexed="10"/>
        <rFont val="Arial"/>
        <family val="2"/>
      </rPr>
      <t>dicembre</t>
    </r>
    <r>
      <rPr>
        <sz val="10"/>
        <rFont val="Arial"/>
        <family val="2"/>
      </rPr>
      <t xml:space="preserve"> 2000 per numero dipendenti con oneri riflessi al 39% </t>
    </r>
  </si>
  <si>
    <r>
      <t xml:space="preserve">Costo riallineamento salario di professionalità 1 </t>
    </r>
    <r>
      <rPr>
        <sz val="10"/>
        <color indexed="10"/>
        <rFont val="Arial"/>
        <family val="2"/>
      </rPr>
      <t>dicembre</t>
    </r>
    <r>
      <rPr>
        <sz val="10"/>
        <rFont val="Arial"/>
        <family val="2"/>
      </rPr>
      <t xml:space="preserve"> 2000 per numero dipendenti con oneri riflessi al 39% </t>
    </r>
  </si>
  <si>
    <r>
      <t xml:space="preserve">Costo  riallineamento stipendio  </t>
    </r>
    <r>
      <rPr>
        <sz val="10"/>
        <color indexed="10"/>
        <rFont val="Arial"/>
        <family val="2"/>
      </rPr>
      <t>1/1/2001-30/11/2001</t>
    </r>
    <r>
      <rPr>
        <sz val="10"/>
        <rFont val="Arial"/>
        <family val="2"/>
      </rPr>
      <t xml:space="preserve"> per numero dipendenti con oneri riflessi al 39% </t>
    </r>
  </si>
  <si>
    <r>
      <t xml:space="preserve">Costo  riallineamento salario di professionalità </t>
    </r>
    <r>
      <rPr>
        <sz val="10"/>
        <color indexed="10"/>
        <rFont val="Arial"/>
        <family val="2"/>
      </rPr>
      <t>1/1/2001-30/11/2001</t>
    </r>
    <r>
      <rPr>
        <sz val="10"/>
        <rFont val="Arial"/>
        <family val="2"/>
      </rPr>
      <t xml:space="preserve">per numero dipendenti con oneri riflessi al 39% </t>
    </r>
  </si>
  <si>
    <r>
      <t xml:space="preserve">Costo  riallineamento stipendio  </t>
    </r>
    <r>
      <rPr>
        <sz val="10"/>
        <color indexed="10"/>
        <rFont val="Arial"/>
        <family val="2"/>
      </rPr>
      <t>1/12/2001-31/12/2001</t>
    </r>
    <r>
      <rPr>
        <sz val="10"/>
        <rFont val="Arial"/>
        <family val="2"/>
      </rPr>
      <t xml:space="preserve"> per numero dipendenti con oneri riflessi al 39% </t>
    </r>
  </si>
  <si>
    <r>
      <t xml:space="preserve">Costo riallineamento salario di professionalità 1 </t>
    </r>
    <r>
      <rPr>
        <sz val="10"/>
        <color indexed="10"/>
        <rFont val="Arial"/>
        <family val="2"/>
      </rPr>
      <t>dicembre</t>
    </r>
    <r>
      <rPr>
        <sz val="10"/>
        <rFont val="Arial"/>
        <family val="2"/>
      </rPr>
      <t xml:space="preserve"> 2001 per numero dipendenti con oneri riflessi al 39% </t>
    </r>
  </si>
  <si>
    <t>Riallineamento stipendio con oneri riflessi al 40%</t>
  </si>
  <si>
    <t>II tranche salario di prof. Con oneri al 40%</t>
  </si>
  <si>
    <t xml:space="preserve">Costo  riallineamento stipendio  1/12/2000 - 31/12/2000 per numero dipendenti con oneri riflessi al 40% </t>
  </si>
  <si>
    <t xml:space="preserve">Costo riallineamento salario di professionalità 1/12/2000 - 31/12/2000 per numero dipendenti con oneri riflessi al 40% </t>
  </si>
  <si>
    <t xml:space="preserve">Costo  riallineamento indennità integrativa speciale  1/12/2000 - 31/12/2000 per numero dipendenti con oneri riflessi al 40% </t>
  </si>
  <si>
    <t xml:space="preserve">Costo  riallineamento indennità integrativa speciale  1/1/2001-30/11/2001 per numero dipendenti con oneri riflessi al 40% </t>
  </si>
  <si>
    <r>
      <t xml:space="preserve">Costo  riallineamento stipendio  </t>
    </r>
    <r>
      <rPr>
        <sz val="10"/>
        <color indexed="10"/>
        <rFont val="Arial"/>
        <family val="2"/>
      </rPr>
      <t>1/12/2001-31/12/2001</t>
    </r>
    <r>
      <rPr>
        <sz val="10"/>
        <rFont val="Arial"/>
        <family val="2"/>
      </rPr>
      <t xml:space="preserve"> per numero dipendenti con oneri riflessi al 40% </t>
    </r>
  </si>
  <si>
    <t xml:space="preserve">Costo riallineamento salario di professionalità 1/12/2001-31/12/2001 per numero dipendenti con oneri riflessi al 40% </t>
  </si>
  <si>
    <t xml:space="preserve">Costo  riallineamento indennità integrativa speciale  1/12/2001-31/12/2001 per numero dipendenti con oneri riflessi al 40% </t>
  </si>
  <si>
    <t>Riallineamento a regime di indennità integrativa spec, con oneri al 40%</t>
  </si>
  <si>
    <r>
      <t xml:space="preserve">Costo  riallineamento stipendio  </t>
    </r>
    <r>
      <rPr>
        <sz val="10"/>
        <color indexed="10"/>
        <rFont val="Arial"/>
        <family val="2"/>
      </rPr>
      <t>1/1/2002-31/12/2002</t>
    </r>
    <r>
      <rPr>
        <sz val="10"/>
        <rFont val="Arial"/>
        <family val="2"/>
      </rPr>
      <t xml:space="preserve"> per numero dipendenti con oneri riflessi al 40% </t>
    </r>
  </si>
  <si>
    <r>
      <t xml:space="preserve">Costo  riallineamento salario di professionalità </t>
    </r>
    <r>
      <rPr>
        <sz val="10"/>
        <color indexed="10"/>
        <rFont val="Arial"/>
        <family val="2"/>
      </rPr>
      <t xml:space="preserve">1/1/2002-31/12/2002 </t>
    </r>
    <r>
      <rPr>
        <sz val="10"/>
        <rFont val="Arial"/>
        <family val="2"/>
      </rPr>
      <t xml:space="preserve">per numero dipendenti con oneri riflessi al 40% </t>
    </r>
  </si>
  <si>
    <t xml:space="preserve">Costo  riallineamento indennità integrativa speciale   1/1/2002-31/12/2002 per numero dipendenti con oneri riflessi al 40% </t>
  </si>
  <si>
    <t>Totale una tantum con oneri riflessi al 38%</t>
  </si>
  <si>
    <t>Anno</t>
  </si>
  <si>
    <t>Importi a carico dell'Amministrazione regionale</t>
  </si>
  <si>
    <t xml:space="preserve"> </t>
  </si>
  <si>
    <t>Numero complessivo dipendenti di ruolo</t>
  </si>
  <si>
    <t>Numero complessivo dipendenti non di ruolo</t>
  </si>
  <si>
    <t xml:space="preserve"> STIMA COSTI DERIVANTI DALL'APPLICAZIONE DELL'ART. 38</t>
  </si>
  <si>
    <t xml:space="preserve">TOTALE </t>
  </si>
  <si>
    <t>Stima costi derivanti dall'applicazione dell'art. 38</t>
  </si>
  <si>
    <t>1/1/1998 - 31/12/1998</t>
  </si>
  <si>
    <t xml:space="preserve">(DIRITTO AL RICALCOLO DELLA PENSIONE </t>
  </si>
  <si>
    <t xml:space="preserve">PER IL PERSONALE CHE HA CESSATO IL SERVIZIO </t>
  </si>
  <si>
    <t>DURANTE IL BIENNIO 1998/1999)</t>
  </si>
  <si>
    <t>1/1/1999 - 31/12/1999</t>
  </si>
  <si>
    <t>1/1/2000 - 31/12/2000</t>
  </si>
  <si>
    <t>1/1/2001 - 31/12/2001</t>
  </si>
  <si>
    <t>1/1/98 - 31/12/98</t>
  </si>
  <si>
    <t>1/1/99 - 31/12/99</t>
  </si>
  <si>
    <t>1/1/2002 - 31/12/2002</t>
  </si>
  <si>
    <t>Riallineamento bilinguismo, prima tranche al 50%,  dal 1/12/2000</t>
  </si>
  <si>
    <t>INDENNITÀ DI BILINGUISMO ANNI 2000 - 2001 - 2002</t>
  </si>
  <si>
    <t>Da ex Liv.</t>
  </si>
  <si>
    <t>Costo Bilinguismo con oneri al 40%  (11/12 per l'anno 2001)</t>
  </si>
  <si>
    <t>Costo Bilinguismo con oneri al 40%  (1/12 per l'anno 2000)</t>
  </si>
  <si>
    <t>Costo Bilinguismo con oneri al 40%  (1/12 per l'anno 2001)</t>
  </si>
  <si>
    <t>Costo Bilinguismo con oneri al 40%  (12/12 per l'anno 2002)</t>
  </si>
  <si>
    <t>Costo complessivo con oneri riflessi al 38%</t>
  </si>
  <si>
    <t>Totale incremento stipendio con oneri riflessi al 37%</t>
  </si>
  <si>
    <t>Maggiore Costo complessivo 1998 (3 mensilità) con oneri riflessi al 37%</t>
  </si>
  <si>
    <t>Maggiore Costo complessivo 1999 (13 mensilità) con oneri riflessi al 37%</t>
  </si>
  <si>
    <t>Maggiore Costo complessivo 1999 (7 mensilità) con oneri riflessi al 37%</t>
  </si>
  <si>
    <t>Maggiore Costo complessivo 2000 (13 mensilità) con oneri riflessi al 38%</t>
  </si>
  <si>
    <t>Maggiore costo complessivo con oneri riflessi al 38%</t>
  </si>
  <si>
    <t>1/12/2001 -31/12/2001</t>
  </si>
  <si>
    <t>1/12/2002 - 31/12/2002</t>
  </si>
  <si>
    <t>Tabella )</t>
  </si>
</sst>
</file>

<file path=xl/styles.xml><?xml version="1.0" encoding="utf-8"?>
<styleSheet xmlns="http://schemas.openxmlformats.org/spreadsheetml/2006/main">
  <numFmts count="3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%"/>
    <numFmt numFmtId="165" formatCode="mmmm\-yy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000"/>
    <numFmt numFmtId="175" formatCode="#,##0.000_ ;\-#,##0.000\ "/>
    <numFmt numFmtId="176" formatCode="#,##0\ &quot;F&quot;;\-#,##0\ &quot;F&quot;"/>
    <numFmt numFmtId="177" formatCode="#,##0\ &quot;F&quot;;[Red]\-#,##0\ &quot;F&quot;"/>
    <numFmt numFmtId="178" formatCode="#,##0.00\ &quot;F&quot;;\-#,##0.00\ &quot;F&quot;"/>
    <numFmt numFmtId="179" formatCode="#,##0.00\ &quot;F&quot;;[Red]\-#,##0.00\ &quot;F&quot;"/>
    <numFmt numFmtId="180" formatCode="_-* #,##0\ &quot;F&quot;_-;\-* #,##0\ &quot;F&quot;_-;_-* &quot;-&quot;\ &quot;F&quot;_-;_-@_-"/>
    <numFmt numFmtId="181" formatCode="_-* #,##0\ _F_-;\-* #,##0\ _F_-;_-* &quot;-&quot;\ _F_-;_-@_-"/>
    <numFmt numFmtId="182" formatCode="_-* #,##0.00\ &quot;F&quot;_-;\-* #,##0.00\ &quot;F&quot;_-;_-* &quot;-&quot;??\ &quot;F&quot;_-;_-@_-"/>
    <numFmt numFmtId="183" formatCode="_-* #,##0.00\ _F_-;\-* #,##0.00\ _F_-;_-* &quot;-&quot;??\ _F_-;_-@_-"/>
    <numFmt numFmtId="184" formatCode="d\ mmmm\ yyyy"/>
    <numFmt numFmtId="185" formatCode="d/m"/>
    <numFmt numFmtId="186" formatCode="0_ ;\-0\ "/>
  </numFmts>
  <fonts count="19">
    <font>
      <sz val="10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9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sz val="16"/>
      <name val="Arial"/>
      <family val="2"/>
    </font>
    <font>
      <b/>
      <i/>
      <sz val="12"/>
      <name val="Arial"/>
      <family val="2"/>
    </font>
    <font>
      <sz val="22"/>
      <name val="Arial"/>
      <family val="2"/>
    </font>
    <font>
      <b/>
      <sz val="10"/>
      <color indexed="18"/>
      <name val="Arial"/>
      <family val="2"/>
    </font>
    <font>
      <sz val="18"/>
      <name val="Arial"/>
      <family val="2"/>
    </font>
    <font>
      <sz val="10"/>
      <color indexed="18"/>
      <name val="Arial"/>
      <family val="2"/>
    </font>
    <font>
      <b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i/>
      <sz val="10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left" vertical="justify"/>
    </xf>
    <xf numFmtId="165" fontId="1" fillId="0" borderId="1" xfId="0" applyNumberFormat="1" applyFont="1" applyBorder="1" applyAlignment="1">
      <alignment horizontal="center" vertical="justify"/>
    </xf>
    <xf numFmtId="3" fontId="0" fillId="0" borderId="1" xfId="0" applyNumberFormat="1" applyBorder="1" applyAlignment="1">
      <alignment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left" vertical="justify"/>
    </xf>
    <xf numFmtId="41" fontId="3" fillId="0" borderId="0" xfId="16" applyFont="1" applyFill="1" applyBorder="1" applyAlignment="1">
      <alignment/>
    </xf>
    <xf numFmtId="0" fontId="0" fillId="0" borderId="0" xfId="0" applyBorder="1" applyAlignment="1">
      <alignment/>
    </xf>
    <xf numFmtId="3" fontId="2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165" fontId="0" fillId="0" borderId="1" xfId="0" applyNumberFormat="1" applyFont="1" applyBorder="1" applyAlignment="1">
      <alignment horizontal="center" vertical="justify"/>
    </xf>
    <xf numFmtId="3" fontId="0" fillId="0" borderId="2" xfId="0" applyNumberFormat="1" applyBorder="1" applyAlignment="1">
      <alignment/>
    </xf>
    <xf numFmtId="0" fontId="0" fillId="0" borderId="1" xfId="0" applyBorder="1" applyAlignment="1">
      <alignment/>
    </xf>
    <xf numFmtId="3" fontId="5" fillId="0" borderId="0" xfId="0" applyNumberFormat="1" applyFont="1" applyAlignment="1">
      <alignment/>
    </xf>
    <xf numFmtId="3" fontId="2" fillId="0" borderId="0" xfId="0" applyNumberFormat="1" applyFont="1" applyAlignment="1">
      <alignment horizontal="centerContinuous"/>
    </xf>
    <xf numFmtId="3" fontId="0" fillId="0" borderId="0" xfId="0" applyNumberFormat="1" applyAlignment="1">
      <alignment horizontal="centerContinuous"/>
    </xf>
    <xf numFmtId="3" fontId="0" fillId="0" borderId="3" xfId="0" applyNumberFormat="1" applyBorder="1" applyAlignment="1">
      <alignment horizontal="center"/>
    </xf>
    <xf numFmtId="3" fontId="0" fillId="0" borderId="3" xfId="0" applyNumberFormat="1" applyBorder="1" applyAlignment="1">
      <alignment/>
    </xf>
    <xf numFmtId="3" fontId="0" fillId="0" borderId="0" xfId="0" applyNumberFormat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3" xfId="0" applyNumberFormat="1" applyBorder="1" applyAlignment="1">
      <alignment horizontal="center" vertical="justify"/>
    </xf>
    <xf numFmtId="3" fontId="0" fillId="0" borderId="0" xfId="0" applyNumberFormat="1" applyBorder="1" applyAlignment="1">
      <alignment horizontal="center" vertical="justify"/>
    </xf>
    <xf numFmtId="3" fontId="0" fillId="0" borderId="6" xfId="0" applyNumberFormat="1" applyBorder="1" applyAlignment="1">
      <alignment horizontal="center" vertical="justify"/>
    </xf>
    <xf numFmtId="3" fontId="0" fillId="0" borderId="7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justify"/>
    </xf>
    <xf numFmtId="164" fontId="0" fillId="0" borderId="0" xfId="0" applyNumberFormat="1" applyBorder="1" applyAlignment="1">
      <alignment horizontal="center"/>
    </xf>
    <xf numFmtId="3" fontId="0" fillId="0" borderId="8" xfId="0" applyNumberFormat="1" applyBorder="1" applyAlignment="1">
      <alignment horizontal="center" vertical="justify"/>
    </xf>
    <xf numFmtId="0" fontId="6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/>
    </xf>
    <xf numFmtId="3" fontId="0" fillId="0" borderId="9" xfId="0" applyNumberFormat="1" applyBorder="1" applyAlignment="1">
      <alignment horizontal="center" vertical="justify"/>
    </xf>
    <xf numFmtId="3" fontId="0" fillId="0" borderId="10" xfId="0" applyNumberFormat="1" applyBorder="1" applyAlignment="1">
      <alignment horizontal="center" vertical="justify"/>
    </xf>
    <xf numFmtId="3" fontId="0" fillId="0" borderId="5" xfId="0" applyNumberFormat="1" applyBorder="1" applyAlignment="1">
      <alignment horizontal="center" vertical="center"/>
    </xf>
    <xf numFmtId="0" fontId="8" fillId="0" borderId="0" xfId="0" applyFont="1" applyAlignment="1">
      <alignment horizontal="left"/>
    </xf>
    <xf numFmtId="3" fontId="0" fillId="0" borderId="1" xfId="0" applyNumberFormat="1" applyBorder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3" fontId="0" fillId="0" borderId="11" xfId="0" applyNumberFormat="1" applyBorder="1" applyAlignment="1">
      <alignment horizontal="left" vertical="justify"/>
    </xf>
    <xf numFmtId="3" fontId="0" fillId="0" borderId="11" xfId="0" applyNumberFormat="1" applyBorder="1" applyAlignment="1">
      <alignment horizontal="left"/>
    </xf>
    <xf numFmtId="1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5" xfId="0" applyNumberFormat="1" applyBorder="1" applyAlignment="1">
      <alignment/>
    </xf>
    <xf numFmtId="3" fontId="9" fillId="0" borderId="1" xfId="0" applyNumberFormat="1" applyFont="1" applyBorder="1" applyAlignment="1">
      <alignment horizontal="center" vertical="center"/>
    </xf>
    <xf numFmtId="3" fontId="0" fillId="0" borderId="12" xfId="0" applyNumberFormat="1" applyBorder="1" applyAlignment="1">
      <alignment/>
    </xf>
    <xf numFmtId="1" fontId="0" fillId="0" borderId="12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justify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185" fontId="0" fillId="0" borderId="0" xfId="0" applyNumberFormat="1" applyAlignment="1">
      <alignment/>
    </xf>
    <xf numFmtId="3" fontId="9" fillId="0" borderId="1" xfId="0" applyNumberFormat="1" applyFont="1" applyBorder="1" applyAlignment="1">
      <alignment horizontal="center" vertical="justify"/>
    </xf>
    <xf numFmtId="165" fontId="11" fillId="0" borderId="1" xfId="0" applyNumberFormat="1" applyFont="1" applyBorder="1" applyAlignment="1">
      <alignment horizontal="center" vertical="justify"/>
    </xf>
    <xf numFmtId="3" fontId="11" fillId="0" borderId="1" xfId="0" applyNumberFormat="1" applyFont="1" applyBorder="1" applyAlignment="1">
      <alignment/>
    </xf>
    <xf numFmtId="3" fontId="12" fillId="0" borderId="0" xfId="0" applyNumberFormat="1" applyFont="1" applyAlignment="1">
      <alignment horizontal="left"/>
    </xf>
    <xf numFmtId="165" fontId="13" fillId="0" borderId="1" xfId="0" applyNumberFormat="1" applyFont="1" applyBorder="1" applyAlignment="1">
      <alignment horizontal="center" vertical="justify"/>
    </xf>
    <xf numFmtId="3" fontId="2" fillId="0" borderId="1" xfId="0" applyNumberFormat="1" applyFont="1" applyBorder="1" applyAlignment="1">
      <alignment/>
    </xf>
    <xf numFmtId="3" fontId="0" fillId="2" borderId="0" xfId="0" applyNumberFormat="1" applyFill="1" applyAlignment="1">
      <alignment/>
    </xf>
    <xf numFmtId="3" fontId="0" fillId="2" borderId="0" xfId="0" applyNumberFormat="1" applyFill="1" applyBorder="1" applyAlignment="1">
      <alignment/>
    </xf>
    <xf numFmtId="3" fontId="2" fillId="0" borderId="0" xfId="0" applyNumberFormat="1" applyFont="1" applyBorder="1" applyAlignment="1">
      <alignment/>
    </xf>
    <xf numFmtId="3" fontId="5" fillId="0" borderId="0" xfId="0" applyNumberFormat="1" applyFont="1" applyAlignment="1">
      <alignment horizontal="left"/>
    </xf>
    <xf numFmtId="3" fontId="1" fillId="0" borderId="1" xfId="0" applyNumberFormat="1" applyFont="1" applyBorder="1" applyAlignment="1">
      <alignment/>
    </xf>
    <xf numFmtId="3" fontId="0" fillId="0" borderId="0" xfId="0" applyNumberFormat="1" applyAlignment="1">
      <alignment horizontal="left"/>
    </xf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12" fillId="0" borderId="0" xfId="0" applyNumberFormat="1" applyFont="1" applyAlignment="1">
      <alignment horizontal="center"/>
    </xf>
    <xf numFmtId="0" fontId="0" fillId="3" borderId="0" xfId="0" applyFill="1" applyAlignment="1">
      <alignment/>
    </xf>
    <xf numFmtId="3" fontId="0" fillId="3" borderId="0" xfId="0" applyNumberFormat="1" applyFill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2" xfId="0" applyBorder="1" applyAlignment="1">
      <alignment/>
    </xf>
    <xf numFmtId="3" fontId="0" fillId="0" borderId="14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0" fillId="4" borderId="15" xfId="0" applyFill="1" applyBorder="1" applyAlignment="1">
      <alignment/>
    </xf>
    <xf numFmtId="3" fontId="0" fillId="4" borderId="16" xfId="0" applyNumberFormat="1" applyFill="1" applyBorder="1" applyAlignment="1">
      <alignment/>
    </xf>
    <xf numFmtId="0" fontId="0" fillId="4" borderId="2" xfId="0" applyFill="1" applyBorder="1" applyAlignment="1">
      <alignment/>
    </xf>
    <xf numFmtId="3" fontId="0" fillId="4" borderId="11" xfId="0" applyNumberFormat="1" applyFill="1" applyBorder="1" applyAlignment="1">
      <alignment/>
    </xf>
    <xf numFmtId="3" fontId="0" fillId="4" borderId="0" xfId="0" applyNumberFormat="1" applyFill="1" applyAlignment="1">
      <alignment/>
    </xf>
    <xf numFmtId="3" fontId="2" fillId="0" borderId="1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center"/>
    </xf>
    <xf numFmtId="3" fontId="0" fillId="4" borderId="2" xfId="0" applyNumberFormat="1" applyFill="1" applyBorder="1" applyAlignment="1">
      <alignment horizontal="right"/>
    </xf>
    <xf numFmtId="3" fontId="0" fillId="4" borderId="2" xfId="0" applyNumberFormat="1" applyFill="1" applyBorder="1" applyAlignment="1">
      <alignment/>
    </xf>
    <xf numFmtId="0" fontId="2" fillId="4" borderId="1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3" fontId="0" fillId="0" borderId="1" xfId="0" applyNumberFormat="1" applyBorder="1" applyAlignment="1">
      <alignment horizontal="justify" vertical="justify"/>
    </xf>
    <xf numFmtId="3" fontId="2" fillId="0" borderId="0" xfId="0" applyNumberFormat="1" applyFont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" xfId="0" applyBorder="1" applyAlignment="1">
      <alignment horizontal="center"/>
    </xf>
    <xf numFmtId="41" fontId="0" fillId="0" borderId="19" xfId="0" applyNumberFormat="1" applyBorder="1" applyAlignment="1">
      <alignment/>
    </xf>
    <xf numFmtId="41" fontId="0" fillId="0" borderId="0" xfId="0" applyNumberFormat="1" applyBorder="1" applyAlignment="1">
      <alignment/>
    </xf>
    <xf numFmtId="0" fontId="0" fillId="0" borderId="12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41" fontId="0" fillId="0" borderId="20" xfId="0" applyNumberFormat="1" applyBorder="1" applyAlignment="1">
      <alignment/>
    </xf>
    <xf numFmtId="0" fontId="0" fillId="0" borderId="21" xfId="0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165" fontId="0" fillId="0" borderId="1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horizontal="left"/>
    </xf>
    <xf numFmtId="3" fontId="0" fillId="0" borderId="11" xfId="0" applyNumberFormat="1" applyBorder="1" applyAlignment="1">
      <alignment/>
    </xf>
    <xf numFmtId="3" fontId="0" fillId="0" borderId="3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/>
    </xf>
    <xf numFmtId="3" fontId="0" fillId="0" borderId="25" xfId="0" applyNumberFormat="1" applyBorder="1" applyAlignment="1">
      <alignment/>
    </xf>
    <xf numFmtId="3" fontId="0" fillId="0" borderId="18" xfId="0" applyNumberFormat="1" applyBorder="1" applyAlignment="1">
      <alignment horizontal="center" vertical="justify"/>
    </xf>
    <xf numFmtId="3" fontId="0" fillId="0" borderId="8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8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5" fillId="0" borderId="0" xfId="0" applyFont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>
      <alignment horizontal="left" vertical="center"/>
    </xf>
    <xf numFmtId="3" fontId="0" fillId="0" borderId="6" xfId="0" applyNumberFormat="1" applyBorder="1" applyAlignment="1">
      <alignment horizontal="center"/>
    </xf>
    <xf numFmtId="3" fontId="0" fillId="0" borderId="6" xfId="0" applyNumberFormat="1" applyBorder="1" applyAlignment="1">
      <alignment/>
    </xf>
    <xf numFmtId="41" fontId="0" fillId="0" borderId="0" xfId="16" applyAlignment="1">
      <alignment/>
    </xf>
    <xf numFmtId="41" fontId="0" fillId="0" borderId="7" xfId="16" applyBorder="1" applyAlignment="1">
      <alignment horizontal="center" vertical="center"/>
    </xf>
    <xf numFmtId="41" fontId="0" fillId="0" borderId="7" xfId="16" applyBorder="1" applyAlignment="1">
      <alignment horizontal="center" vertical="center" wrapText="1"/>
    </xf>
    <xf numFmtId="41" fontId="0" fillId="0" borderId="5" xfId="16" applyBorder="1" applyAlignment="1">
      <alignment/>
    </xf>
    <xf numFmtId="41" fontId="0" fillId="0" borderId="0" xfId="16" applyFont="1" applyAlignment="1">
      <alignment/>
    </xf>
    <xf numFmtId="3" fontId="0" fillId="0" borderId="27" xfId="0" applyNumberFormat="1" applyBorder="1" applyAlignment="1">
      <alignment horizontal="center"/>
    </xf>
    <xf numFmtId="3" fontId="0" fillId="0" borderId="0" xfId="0" applyNumberFormat="1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left" vertical="center"/>
    </xf>
    <xf numFmtId="1" fontId="0" fillId="0" borderId="13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86" fontId="0" fillId="0" borderId="5" xfId="16" applyNumberFormat="1" applyBorder="1" applyAlignment="1">
      <alignment horizontal="center"/>
    </xf>
    <xf numFmtId="186" fontId="0" fillId="0" borderId="1" xfId="16" applyNumberFormat="1" applyBorder="1" applyAlignment="1">
      <alignment horizontal="center"/>
    </xf>
    <xf numFmtId="41" fontId="0" fillId="0" borderId="0" xfId="16" applyBorder="1" applyAlignment="1">
      <alignment horizontal="center" vertical="center"/>
    </xf>
    <xf numFmtId="41" fontId="0" fillId="0" borderId="0" xfId="16" applyBorder="1" applyAlignment="1">
      <alignment horizontal="center" vertical="center" wrapText="1"/>
    </xf>
    <xf numFmtId="41" fontId="0" fillId="0" borderId="1" xfId="16" applyBorder="1" applyAlignment="1">
      <alignment/>
    </xf>
    <xf numFmtId="41" fontId="8" fillId="0" borderId="0" xfId="16" applyFont="1" applyAlignment="1">
      <alignment/>
    </xf>
    <xf numFmtId="0" fontId="0" fillId="0" borderId="21" xfId="0" applyFont="1" applyBorder="1" applyAlignment="1">
      <alignment horizontal="center" wrapText="1"/>
    </xf>
    <xf numFmtId="3" fontId="0" fillId="0" borderId="11" xfId="0" applyNumberFormat="1" applyBorder="1" applyAlignment="1">
      <alignment horizontal="justify" vertical="justify"/>
    </xf>
    <xf numFmtId="0" fontId="0" fillId="0" borderId="22" xfId="0" applyBorder="1" applyAlignment="1">
      <alignment horizontal="center" vertical="center"/>
    </xf>
    <xf numFmtId="3" fontId="0" fillId="0" borderId="22" xfId="0" applyNumberFormat="1" applyBorder="1" applyAlignment="1">
      <alignment vertical="center"/>
    </xf>
    <xf numFmtId="3" fontId="0" fillId="0" borderId="23" xfId="0" applyNumberFormat="1" applyBorder="1" applyAlignment="1">
      <alignment vertical="center"/>
    </xf>
    <xf numFmtId="41" fontId="0" fillId="0" borderId="24" xfId="16" applyBorder="1" applyAlignment="1">
      <alignment horizontal="center" vertical="center"/>
    </xf>
    <xf numFmtId="0" fontId="2" fillId="0" borderId="8" xfId="0" applyFont="1" applyBorder="1" applyAlignment="1">
      <alignment/>
    </xf>
    <xf numFmtId="41" fontId="2" fillId="0" borderId="26" xfId="0" applyNumberFormat="1" applyFont="1" applyBorder="1" applyAlignment="1">
      <alignment/>
    </xf>
    <xf numFmtId="0" fontId="2" fillId="5" borderId="0" xfId="0" applyFont="1" applyFill="1" applyAlignment="1">
      <alignment/>
    </xf>
    <xf numFmtId="0" fontId="14" fillId="5" borderId="0" xfId="0" applyFont="1" applyFill="1" applyAlignment="1">
      <alignment/>
    </xf>
    <xf numFmtId="3" fontId="14" fillId="5" borderId="0" xfId="0" applyNumberFormat="1" applyFont="1" applyFill="1" applyAlignment="1" quotePrefix="1">
      <alignment horizontal="right"/>
    </xf>
    <xf numFmtId="3" fontId="14" fillId="5" borderId="0" xfId="0" applyNumberFormat="1" applyFont="1" applyFill="1" applyAlignment="1" quotePrefix="1">
      <alignment horizontal="left"/>
    </xf>
    <xf numFmtId="41" fontId="14" fillId="5" borderId="0" xfId="0" applyNumberFormat="1" applyFont="1" applyFill="1" applyAlignment="1">
      <alignment/>
    </xf>
    <xf numFmtId="3" fontId="0" fillId="0" borderId="27" xfId="0" applyNumberFormat="1" applyBorder="1" applyAlignment="1">
      <alignment/>
    </xf>
    <xf numFmtId="3" fontId="0" fillId="0" borderId="1" xfId="0" applyNumberFormat="1" applyBorder="1" applyAlignment="1">
      <alignment horizontal="center" vertical="justify"/>
    </xf>
    <xf numFmtId="3" fontId="0" fillId="0" borderId="7" xfId="0" applyNumberFormat="1" applyBorder="1" applyAlignment="1">
      <alignment horizontal="center"/>
    </xf>
    <xf numFmtId="3" fontId="0" fillId="0" borderId="7" xfId="0" applyNumberFormat="1" applyBorder="1" applyAlignment="1">
      <alignment/>
    </xf>
    <xf numFmtId="3" fontId="0" fillId="0" borderId="26" xfId="0" applyNumberFormat="1" applyBorder="1" applyAlignment="1">
      <alignment horizontal="center" vertical="justify"/>
    </xf>
    <xf numFmtId="165" fontId="0" fillId="0" borderId="1" xfId="0" applyNumberFormat="1" applyFont="1" applyBorder="1" applyAlignment="1">
      <alignment horizontal="center" vertical="center" textRotation="90"/>
    </xf>
    <xf numFmtId="3" fontId="0" fillId="0" borderId="1" xfId="0" applyNumberFormat="1" applyBorder="1" applyAlignment="1">
      <alignment horizontal="center" vertical="center" wrapText="1"/>
    </xf>
    <xf numFmtId="3" fontId="2" fillId="5" borderId="7" xfId="0" applyNumberFormat="1" applyFont="1" applyFill="1" applyBorder="1" applyAlignment="1">
      <alignment/>
    </xf>
    <xf numFmtId="3" fontId="2" fillId="5" borderId="25" xfId="0" applyNumberFormat="1" applyFont="1" applyFill="1" applyBorder="1" applyAlignment="1">
      <alignment/>
    </xf>
    <xf numFmtId="0" fontId="2" fillId="5" borderId="7" xfId="0" applyFont="1" applyFill="1" applyBorder="1" applyAlignment="1">
      <alignment/>
    </xf>
    <xf numFmtId="3" fontId="0" fillId="0" borderId="2" xfId="0" applyNumberFormat="1" applyBorder="1" applyAlignment="1">
      <alignment horizontal="left" vertical="justify"/>
    </xf>
    <xf numFmtId="3" fontId="0" fillId="0" borderId="11" xfId="0" applyNumberFormat="1" applyBorder="1" applyAlignment="1">
      <alignment horizontal="left" vertical="center"/>
    </xf>
    <xf numFmtId="3" fontId="0" fillId="0" borderId="1" xfId="0" applyNumberFormat="1" applyBorder="1" applyAlignment="1">
      <alignment horizontal="left" vertical="justify" wrapText="1"/>
    </xf>
    <xf numFmtId="3" fontId="0" fillId="0" borderId="11" xfId="0" applyNumberFormat="1" applyBorder="1" applyAlignment="1">
      <alignment horizontal="left" vertical="center" wrapText="1"/>
    </xf>
    <xf numFmtId="3" fontId="10" fillId="0" borderId="2" xfId="0" applyNumberFormat="1" applyFont="1" applyBorder="1" applyAlignment="1">
      <alignment horizontal="center"/>
    </xf>
    <xf numFmtId="3" fontId="10" fillId="0" borderId="25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27" xfId="0" applyFon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41" fontId="17" fillId="0" borderId="0" xfId="16" applyFont="1" applyAlignment="1">
      <alignment horizontal="center"/>
    </xf>
    <xf numFmtId="41" fontId="0" fillId="0" borderId="0" xfId="16" applyFont="1" applyAlignment="1">
      <alignment horizontal="center"/>
    </xf>
    <xf numFmtId="3" fontId="2" fillId="5" borderId="8" xfId="0" applyNumberFormat="1" applyFont="1" applyFill="1" applyBorder="1" applyAlignment="1">
      <alignment horizontal="center"/>
    </xf>
    <xf numFmtId="3" fontId="2" fillId="5" borderId="26" xfId="0" applyNumberFormat="1" applyFont="1" applyFill="1" applyBorder="1" applyAlignment="1">
      <alignment horizontal="center"/>
    </xf>
    <xf numFmtId="3" fontId="8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/>
    </xf>
    <xf numFmtId="3" fontId="12" fillId="0" borderId="0" xfId="0" applyNumberFormat="1" applyFont="1" applyAlignment="1">
      <alignment horizontal="center"/>
    </xf>
    <xf numFmtId="41" fontId="8" fillId="0" borderId="0" xfId="16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6143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1009650"/>
          <a:ext cx="7181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6</xdr:col>
      <xdr:colOff>0</xdr:colOff>
      <xdr:row>4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161925"/>
          <a:ext cx="7181850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60960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6</xdr:col>
      <xdr:colOff>0</xdr:colOff>
      <xdr:row>5</xdr:row>
      <xdr:rowOff>0</xdr:rowOff>
    </xdr:to>
    <xdr:sp>
      <xdr:nvSpPr>
        <xdr:cNvPr id="2" name="Rectangle 3"/>
        <xdr:cNvSpPr>
          <a:spLocks/>
        </xdr:cNvSpPr>
      </xdr:nvSpPr>
      <xdr:spPr>
        <a:xfrm>
          <a:off x="0" y="180975"/>
          <a:ext cx="7162800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="85" zoomScaleNormal="85" workbookViewId="0" topLeftCell="A3">
      <selection activeCell="G34" sqref="G34"/>
    </sheetView>
  </sheetViews>
  <sheetFormatPr defaultColWidth="9.140625" defaultRowHeight="12.75"/>
  <cols>
    <col min="1" max="1" width="7.00390625" style="1" bestFit="1" customWidth="1"/>
    <col min="2" max="2" width="38.00390625" style="23" bestFit="1" customWidth="1"/>
    <col min="3" max="3" width="20.00390625" style="1" bestFit="1" customWidth="1"/>
    <col min="4" max="4" width="14.421875" style="1" customWidth="1"/>
    <col min="5" max="5" width="12.7109375" style="1" bestFit="1" customWidth="1"/>
    <col min="6" max="6" width="15.57421875" style="1" customWidth="1"/>
    <col min="7" max="7" width="14.421875" style="1" bestFit="1" customWidth="1"/>
    <col min="8" max="16384" width="9.140625" style="1" customWidth="1"/>
  </cols>
  <sheetData>
    <row r="1" s="8" customFormat="1" ht="12.75" hidden="1">
      <c r="B1" s="13"/>
    </row>
    <row r="2" s="8" customFormat="1" ht="12.75" hidden="1">
      <c r="B2" s="13"/>
    </row>
    <row r="3" s="8" customFormat="1" ht="12.75">
      <c r="B3" s="13"/>
    </row>
    <row r="4" spans="1:6" s="8" customFormat="1" ht="27">
      <c r="A4" s="170" t="s">
        <v>17</v>
      </c>
      <c r="B4" s="171"/>
      <c r="C4" s="171"/>
      <c r="D4" s="171"/>
      <c r="E4" s="171"/>
      <c r="F4" s="172"/>
    </row>
    <row r="5" s="8" customFormat="1" ht="12.75">
      <c r="B5" s="13"/>
    </row>
    <row r="6" spans="1:6" s="8" customFormat="1" ht="27">
      <c r="A6" s="170" t="s">
        <v>38</v>
      </c>
      <c r="B6" s="171"/>
      <c r="C6" s="171"/>
      <c r="D6" s="171"/>
      <c r="E6" s="171"/>
      <c r="F6" s="172"/>
    </row>
    <row r="7" spans="1:6" ht="14.25" customHeight="1" hidden="1">
      <c r="A7" s="54"/>
      <c r="B7" s="54"/>
      <c r="C7" s="54"/>
      <c r="D7" s="54"/>
      <c r="E7" s="54"/>
      <c r="F7" s="54"/>
    </row>
    <row r="8" spans="1:6" ht="14.25" customHeight="1" hidden="1">
      <c r="A8" s="54"/>
      <c r="B8" s="54"/>
      <c r="C8" s="54"/>
      <c r="D8" s="54"/>
      <c r="E8" s="54"/>
      <c r="F8" s="54"/>
    </row>
    <row r="10" spans="1:6" s="18" customFormat="1" ht="45">
      <c r="A10" s="48" t="s">
        <v>41</v>
      </c>
      <c r="B10" s="48" t="s">
        <v>42</v>
      </c>
      <c r="C10" s="48" t="s">
        <v>39</v>
      </c>
      <c r="D10" s="48" t="s">
        <v>77</v>
      </c>
      <c r="E10" s="48" t="s">
        <v>71</v>
      </c>
      <c r="F10" s="52" t="s">
        <v>72</v>
      </c>
    </row>
    <row r="11" spans="1:5" ht="7.5" customHeight="1">
      <c r="A11" s="34"/>
      <c r="B11" s="34"/>
      <c r="C11" s="34"/>
      <c r="D11" s="34"/>
      <c r="E11" s="35"/>
    </row>
    <row r="12" spans="1:6" ht="24.75" customHeight="1">
      <c r="A12" s="45">
        <v>1998</v>
      </c>
      <c r="B12" s="43" t="s">
        <v>66</v>
      </c>
      <c r="C12" s="5" t="s">
        <v>49</v>
      </c>
      <c r="D12" s="5" t="s">
        <v>40</v>
      </c>
      <c r="E12" s="16">
        <v>497946000</v>
      </c>
      <c r="F12" s="49"/>
    </row>
    <row r="13" spans="1:6" ht="24.75" customHeight="1">
      <c r="A13" s="136"/>
      <c r="B13" s="43" t="s">
        <v>257</v>
      </c>
      <c r="C13" s="5" t="s">
        <v>258</v>
      </c>
      <c r="D13" s="5" t="s">
        <v>75</v>
      </c>
      <c r="E13" s="16">
        <v>60000000</v>
      </c>
      <c r="F13" s="47">
        <f>E12+E13</f>
        <v>557946000</v>
      </c>
    </row>
    <row r="14" spans="1:6" ht="25.5" customHeight="1">
      <c r="A14" s="135">
        <v>1999</v>
      </c>
      <c r="B14" s="3" t="s">
        <v>66</v>
      </c>
      <c r="C14" s="5" t="s">
        <v>48</v>
      </c>
      <c r="D14" s="5" t="s">
        <v>43</v>
      </c>
      <c r="E14" s="5">
        <v>2157766000</v>
      </c>
      <c r="F14" s="46"/>
    </row>
    <row r="15" spans="1:6" ht="27" customHeight="1">
      <c r="A15" s="46"/>
      <c r="B15" s="40" t="s">
        <v>44</v>
      </c>
      <c r="C15" s="5" t="s">
        <v>47</v>
      </c>
      <c r="D15" s="5" t="s">
        <v>45</v>
      </c>
      <c r="E15" s="5">
        <v>1046150600</v>
      </c>
      <c r="F15" s="46"/>
    </row>
    <row r="16" spans="1:6" ht="12.75">
      <c r="A16" s="51"/>
      <c r="B16" s="3" t="s">
        <v>135</v>
      </c>
      <c r="C16" s="5" t="s">
        <v>136</v>
      </c>
      <c r="D16" s="5" t="s">
        <v>50</v>
      </c>
      <c r="E16" s="5">
        <v>1411970000</v>
      </c>
      <c r="F16" s="46"/>
    </row>
    <row r="17" spans="1:6" ht="25.5">
      <c r="A17" s="51"/>
      <c r="B17" s="43" t="s">
        <v>257</v>
      </c>
      <c r="C17" s="5" t="s">
        <v>262</v>
      </c>
      <c r="D17" s="5" t="s">
        <v>75</v>
      </c>
      <c r="E17" s="5">
        <v>60000000</v>
      </c>
      <c r="F17" s="47">
        <f>SUM(E14:E17)</f>
        <v>4675886600</v>
      </c>
    </row>
    <row r="18" spans="1:6" ht="33" customHeight="1">
      <c r="A18" s="50">
        <v>2000</v>
      </c>
      <c r="B18" s="3" t="s">
        <v>67</v>
      </c>
      <c r="C18" s="5" t="s">
        <v>46</v>
      </c>
      <c r="D18" s="5" t="s">
        <v>55</v>
      </c>
      <c r="E18" s="5">
        <v>4142959600</v>
      </c>
      <c r="F18" s="49"/>
    </row>
    <row r="19" spans="1:9" ht="37.5" customHeight="1">
      <c r="A19" s="51"/>
      <c r="B19" s="3" t="s">
        <v>73</v>
      </c>
      <c r="C19" s="5" t="s">
        <v>46</v>
      </c>
      <c r="D19" s="5" t="s">
        <v>57</v>
      </c>
      <c r="E19" s="5">
        <v>3515608000</v>
      </c>
      <c r="F19" s="46"/>
      <c r="I19" s="129"/>
    </row>
    <row r="20" spans="1:6" ht="37.5" customHeight="1">
      <c r="A20" s="51"/>
      <c r="B20" s="91" t="s">
        <v>152</v>
      </c>
      <c r="C20" s="5" t="s">
        <v>218</v>
      </c>
      <c r="D20" s="5" t="s">
        <v>59</v>
      </c>
      <c r="E20" s="5">
        <v>29400000</v>
      </c>
      <c r="F20" s="46"/>
    </row>
    <row r="21" spans="1:6" ht="12.75">
      <c r="A21" s="51"/>
      <c r="B21" s="91" t="s">
        <v>181</v>
      </c>
      <c r="C21" s="5" t="s">
        <v>91</v>
      </c>
      <c r="D21" s="5" t="s">
        <v>70</v>
      </c>
      <c r="E21" s="5">
        <v>16071350</v>
      </c>
      <c r="F21" s="46"/>
    </row>
    <row r="22" spans="1:6" ht="25.5">
      <c r="A22" s="51"/>
      <c r="B22" s="3" t="s">
        <v>85</v>
      </c>
      <c r="C22" s="5" t="s">
        <v>91</v>
      </c>
      <c r="D22" s="5" t="s">
        <v>74</v>
      </c>
      <c r="E22" s="5">
        <v>87472769</v>
      </c>
      <c r="F22" s="46"/>
    </row>
    <row r="23" spans="1:6" ht="25.5">
      <c r="A23" s="51"/>
      <c r="B23" s="43" t="s">
        <v>257</v>
      </c>
      <c r="C23" s="5" t="s">
        <v>263</v>
      </c>
      <c r="D23" s="5" t="s">
        <v>75</v>
      </c>
      <c r="E23" s="5">
        <v>60000000</v>
      </c>
      <c r="F23" s="47">
        <f>SUM(E18:E23)</f>
        <v>7851511719</v>
      </c>
    </row>
    <row r="24" spans="1:6" ht="25.5">
      <c r="A24" s="50">
        <v>2001</v>
      </c>
      <c r="B24" s="43" t="s">
        <v>67</v>
      </c>
      <c r="C24" s="5" t="s">
        <v>60</v>
      </c>
      <c r="D24" s="5" t="s">
        <v>55</v>
      </c>
      <c r="E24" s="5">
        <v>4142959600</v>
      </c>
      <c r="F24" s="46"/>
    </row>
    <row r="25" spans="1:6" ht="25.5">
      <c r="A25" s="46"/>
      <c r="B25" s="43" t="s">
        <v>73</v>
      </c>
      <c r="C25" s="5" t="s">
        <v>60</v>
      </c>
      <c r="D25" s="5" t="s">
        <v>57</v>
      </c>
      <c r="E25" s="5">
        <v>3515608000</v>
      </c>
      <c r="F25" s="46"/>
    </row>
    <row r="26" spans="1:6" ht="38.25">
      <c r="A26" s="46"/>
      <c r="B26" s="144" t="s">
        <v>152</v>
      </c>
      <c r="C26" s="5" t="s">
        <v>60</v>
      </c>
      <c r="D26" s="5" t="s">
        <v>68</v>
      </c>
      <c r="E26" s="5">
        <v>58800000</v>
      </c>
      <c r="F26" s="46"/>
    </row>
    <row r="27" spans="1:6" ht="12.75">
      <c r="A27" s="46"/>
      <c r="B27" s="144" t="s">
        <v>181</v>
      </c>
      <c r="C27" s="5" t="s">
        <v>60</v>
      </c>
      <c r="D27" s="5" t="s">
        <v>70</v>
      </c>
      <c r="E27" s="5">
        <v>208927546</v>
      </c>
      <c r="F27" s="46"/>
    </row>
    <row r="28" spans="1:6" ht="25.5">
      <c r="A28" s="46"/>
      <c r="B28" s="43" t="s">
        <v>85</v>
      </c>
      <c r="C28" s="5" t="s">
        <v>60</v>
      </c>
      <c r="D28" s="5" t="s">
        <v>74</v>
      </c>
      <c r="E28" s="5">
        <v>646188408</v>
      </c>
      <c r="F28" s="46"/>
    </row>
    <row r="29" spans="1:6" ht="25.5">
      <c r="A29" s="46"/>
      <c r="B29" s="43" t="s">
        <v>257</v>
      </c>
      <c r="C29" s="5" t="s">
        <v>264</v>
      </c>
      <c r="D29" s="5" t="s">
        <v>75</v>
      </c>
      <c r="E29" s="5">
        <v>60000000</v>
      </c>
      <c r="F29" s="47">
        <f>SUM(E24:E29)</f>
        <v>8632483554</v>
      </c>
    </row>
    <row r="30" spans="1:6" ht="25.5">
      <c r="A30" s="49">
        <v>2002</v>
      </c>
      <c r="B30" s="43" t="s">
        <v>67</v>
      </c>
      <c r="C30" s="5" t="s">
        <v>60</v>
      </c>
      <c r="D30" s="5" t="s">
        <v>55</v>
      </c>
      <c r="E30" s="5">
        <v>4142959600</v>
      </c>
      <c r="F30" s="49"/>
    </row>
    <row r="31" spans="1:6" ht="25.5">
      <c r="A31" s="46"/>
      <c r="B31" s="43" t="s">
        <v>73</v>
      </c>
      <c r="C31" s="5" t="s">
        <v>60</v>
      </c>
      <c r="D31" s="5" t="s">
        <v>57</v>
      </c>
      <c r="E31" s="5">
        <v>3515608000</v>
      </c>
      <c r="F31" s="46"/>
    </row>
    <row r="32" spans="1:6" ht="38.25">
      <c r="A32" s="46"/>
      <c r="B32" s="144" t="s">
        <v>152</v>
      </c>
      <c r="C32" s="5" t="s">
        <v>82</v>
      </c>
      <c r="D32" s="5" t="s">
        <v>68</v>
      </c>
      <c r="E32" s="5">
        <v>58800000</v>
      </c>
      <c r="F32" s="46"/>
    </row>
    <row r="33" spans="1:6" ht="12.75">
      <c r="A33" s="46"/>
      <c r="B33" s="144" t="s">
        <v>181</v>
      </c>
      <c r="C33" s="5" t="s">
        <v>82</v>
      </c>
      <c r="D33" s="5" t="s">
        <v>70</v>
      </c>
      <c r="E33" s="5">
        <v>385712393</v>
      </c>
      <c r="F33" s="46"/>
    </row>
    <row r="34" spans="1:6" ht="25.5">
      <c r="A34" s="46"/>
      <c r="B34" s="43" t="s">
        <v>85</v>
      </c>
      <c r="C34" s="5" t="s">
        <v>82</v>
      </c>
      <c r="D34" s="5" t="s">
        <v>74</v>
      </c>
      <c r="E34" s="5">
        <v>1039030212</v>
      </c>
      <c r="F34" s="46"/>
    </row>
    <row r="35" spans="1:6" ht="25.5">
      <c r="A35" s="47"/>
      <c r="B35" s="43" t="s">
        <v>257</v>
      </c>
      <c r="C35" s="5" t="s">
        <v>82</v>
      </c>
      <c r="D35" s="5" t="s">
        <v>75</v>
      </c>
      <c r="E35" s="5">
        <v>60000000</v>
      </c>
      <c r="F35" s="47">
        <f>SUM(E30:E35)</f>
        <v>9202110205</v>
      </c>
    </row>
    <row r="36" ht="13.5" thickBot="1">
      <c r="E36" s="8"/>
    </row>
    <row r="37" spans="5:6" ht="13.5" thickBot="1">
      <c r="E37" s="117" t="s">
        <v>153</v>
      </c>
      <c r="F37" s="118">
        <f>SUM(F12:F35)</f>
        <v>30919938078</v>
      </c>
    </row>
  </sheetData>
  <mergeCells count="2">
    <mergeCell ref="A4:F4"/>
    <mergeCell ref="A6:F6"/>
  </mergeCells>
  <printOptions horizontalCentered="1" verticalCentered="1"/>
  <pageMargins left="0.7874015748031497" right="0.7874015748031497" top="0.1968503937007874" bottom="0.984251968503937" header="0.5118110236220472" footer="0.5118110236220472"/>
  <pageSetup horizontalDpi="300" verticalDpi="300" orientation="portrait" paperSize="9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G22"/>
  <sheetViews>
    <sheetView workbookViewId="0" topLeftCell="A1">
      <selection activeCell="C6" sqref="C6"/>
    </sheetView>
  </sheetViews>
  <sheetFormatPr defaultColWidth="9.140625" defaultRowHeight="12.75"/>
  <cols>
    <col min="1" max="2" width="9.140625" style="125" customWidth="1"/>
    <col min="3" max="3" width="12.140625" style="125" customWidth="1"/>
    <col min="4" max="4" width="36.28125" style="125" customWidth="1"/>
    <col min="5" max="16384" width="9.140625" style="125" customWidth="1"/>
  </cols>
  <sheetData>
    <row r="3" ht="12.75">
      <c r="B3" s="129" t="s">
        <v>81</v>
      </c>
    </row>
    <row r="5" spans="3:4" ht="20.25">
      <c r="C5" s="192" t="s">
        <v>22</v>
      </c>
      <c r="D5" s="192"/>
    </row>
    <row r="8" spans="2:5" ht="12.75">
      <c r="B8" s="182" t="s">
        <v>255</v>
      </c>
      <c r="C8" s="182"/>
      <c r="D8" s="182"/>
      <c r="E8" s="182"/>
    </row>
    <row r="9" ht="12.75">
      <c r="C9" s="129"/>
    </row>
    <row r="10" spans="2:5" ht="12.75">
      <c r="B10" s="181" t="s">
        <v>259</v>
      </c>
      <c r="C10" s="181"/>
      <c r="D10" s="181"/>
      <c r="E10" s="181"/>
    </row>
    <row r="11" spans="2:5" ht="12.75">
      <c r="B11" s="181" t="s">
        <v>260</v>
      </c>
      <c r="C11" s="181"/>
      <c r="D11" s="181"/>
      <c r="E11" s="181"/>
    </row>
    <row r="12" spans="2:5" ht="12.75">
      <c r="B12" s="181" t="s">
        <v>261</v>
      </c>
      <c r="C12" s="181"/>
      <c r="D12" s="181"/>
      <c r="E12" s="181"/>
    </row>
    <row r="14" ht="13.5" thickBot="1"/>
    <row r="15" spans="3:4" ht="44.25" customHeight="1" thickBot="1">
      <c r="C15" s="126" t="s">
        <v>250</v>
      </c>
      <c r="D15" s="127" t="s">
        <v>251</v>
      </c>
    </row>
    <row r="16" spans="3:4" ht="3.75" customHeight="1">
      <c r="C16" s="139"/>
      <c r="D16" s="140"/>
    </row>
    <row r="17" spans="3:4" ht="12.75">
      <c r="C17" s="138">
        <v>1998</v>
      </c>
      <c r="D17" s="141">
        <v>50000000</v>
      </c>
    </row>
    <row r="18" spans="3:4" ht="12.75">
      <c r="C18" s="137">
        <v>1999</v>
      </c>
      <c r="D18" s="128">
        <v>50000000</v>
      </c>
    </row>
    <row r="19" spans="3:4" ht="12.75">
      <c r="C19" s="138">
        <v>2000</v>
      </c>
      <c r="D19" s="128">
        <v>50000000</v>
      </c>
    </row>
    <row r="20" spans="3:4" ht="12.75">
      <c r="C20" s="138">
        <v>2001</v>
      </c>
      <c r="D20" s="128">
        <v>50000000</v>
      </c>
    </row>
    <row r="21" spans="3:4" ht="12.75">
      <c r="C21" s="138">
        <v>2002</v>
      </c>
      <c r="D21" s="128">
        <v>50000000</v>
      </c>
    </row>
    <row r="22" ht="12.75">
      <c r="G22" s="129" t="s">
        <v>252</v>
      </c>
    </row>
  </sheetData>
  <mergeCells count="5">
    <mergeCell ref="B12:E12"/>
    <mergeCell ref="C5:D5"/>
    <mergeCell ref="B8:E8"/>
    <mergeCell ref="B10:E10"/>
    <mergeCell ref="B11:E1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51"/>
  <sheetViews>
    <sheetView zoomScale="75" zoomScaleNormal="75" workbookViewId="0" topLeftCell="A1">
      <selection activeCell="A2" sqref="A2:Y2"/>
    </sheetView>
  </sheetViews>
  <sheetFormatPr defaultColWidth="9.140625" defaultRowHeight="12.75"/>
  <cols>
    <col min="1" max="1" width="10.7109375" style="1" customWidth="1"/>
    <col min="2" max="2" width="11.8515625" style="1" customWidth="1"/>
    <col min="3" max="3" width="10.421875" style="1" customWidth="1"/>
    <col min="4" max="4" width="13.140625" style="1" bestFit="1" customWidth="1"/>
    <col min="5" max="5" width="12.8515625" style="1" hidden="1" customWidth="1"/>
    <col min="6" max="6" width="9.140625" style="1" hidden="1" customWidth="1"/>
    <col min="7" max="7" width="11.57421875" style="1" hidden="1" customWidth="1"/>
    <col min="8" max="8" width="13.28125" style="1" hidden="1" customWidth="1"/>
    <col min="9" max="11" width="9.28125" style="1" hidden="1" customWidth="1"/>
    <col min="12" max="12" width="12.140625" style="1" hidden="1" customWidth="1"/>
    <col min="13" max="13" width="9.28125" style="1" hidden="1" customWidth="1"/>
    <col min="14" max="18" width="9.8515625" style="1" hidden="1" customWidth="1"/>
    <col min="19" max="19" width="9.28125" style="1" hidden="1" customWidth="1"/>
    <col min="20" max="20" width="9.8515625" style="1" hidden="1" customWidth="1"/>
    <col min="21" max="21" width="10.57421875" style="1" hidden="1" customWidth="1"/>
    <col min="22" max="22" width="10.421875" style="1" hidden="1" customWidth="1"/>
    <col min="23" max="23" width="14.7109375" style="1" customWidth="1"/>
    <col min="24" max="24" width="13.8515625" style="1" bestFit="1" customWidth="1"/>
    <col min="25" max="25" width="15.57421875" style="1" bestFit="1" customWidth="1"/>
    <col min="26" max="26" width="15.57421875" style="1" customWidth="1"/>
    <col min="27" max="27" width="9.140625" style="1" customWidth="1"/>
    <col min="28" max="28" width="12.7109375" style="1" customWidth="1"/>
    <col min="29" max="16384" width="9.140625" style="1" customWidth="1"/>
  </cols>
  <sheetData>
    <row r="1" spans="1:25" ht="19.5" customHeight="1">
      <c r="A1" t="s">
        <v>75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</row>
    <row r="2" spans="1:27" s="68" customFormat="1" ht="23.25">
      <c r="A2" s="191" t="s">
        <v>22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71"/>
      <c r="AA2" s="60"/>
    </row>
    <row r="3" spans="1:26" s="68" customFormat="1" ht="23.25">
      <c r="A3" s="191" t="s">
        <v>100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71"/>
    </row>
    <row r="4" spans="1:25" s="68" customFormat="1" ht="5.2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</row>
    <row r="5" spans="1:27" s="68" customFormat="1" ht="23.25">
      <c r="A5" s="191" t="s">
        <v>86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71"/>
      <c r="AA5" s="60"/>
    </row>
    <row r="6" spans="1:27" ht="12.75" customHeight="1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</row>
    <row r="7" spans="1:27" s="18" customFormat="1" ht="9.75" customHeight="1" hidden="1">
      <c r="A7" s="66"/>
      <c r="B7" s="66"/>
      <c r="C7" s="66"/>
      <c r="D7" s="66"/>
      <c r="E7" s="66" t="s">
        <v>101</v>
      </c>
      <c r="F7" s="66"/>
      <c r="G7" s="66"/>
      <c r="H7" s="66" t="s">
        <v>101</v>
      </c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 t="s">
        <v>101</v>
      </c>
      <c r="Y7" s="66" t="s">
        <v>101</v>
      </c>
      <c r="Z7" s="66"/>
      <c r="AA7" s="66"/>
    </row>
    <row r="8" spans="24:25" ht="12.75" customHeight="1" hidden="1">
      <c r="X8" s="56">
        <v>36505</v>
      </c>
      <c r="Y8" s="1" t="s">
        <v>103</v>
      </c>
    </row>
    <row r="9" spans="1:26" ht="143.25" customHeight="1">
      <c r="A9" s="2" t="s">
        <v>1</v>
      </c>
      <c r="B9" s="15" t="s">
        <v>104</v>
      </c>
      <c r="C9" s="15" t="s">
        <v>105</v>
      </c>
      <c r="D9" s="15" t="s">
        <v>4</v>
      </c>
      <c r="E9" s="15" t="s">
        <v>106</v>
      </c>
      <c r="F9" s="15" t="s">
        <v>107</v>
      </c>
      <c r="G9" s="15" t="s">
        <v>6</v>
      </c>
      <c r="H9" s="15" t="s">
        <v>15</v>
      </c>
      <c r="I9" s="15" t="s">
        <v>108</v>
      </c>
      <c r="J9" s="15" t="s">
        <v>109</v>
      </c>
      <c r="K9" s="15" t="s">
        <v>110</v>
      </c>
      <c r="L9" s="15" t="s">
        <v>111</v>
      </c>
      <c r="M9" s="4" t="s">
        <v>112</v>
      </c>
      <c r="N9" s="15" t="s">
        <v>236</v>
      </c>
      <c r="O9" s="61" t="s">
        <v>237</v>
      </c>
      <c r="P9" s="61" t="s">
        <v>95</v>
      </c>
      <c r="Q9" s="61" t="s">
        <v>96</v>
      </c>
      <c r="R9" s="4" t="s">
        <v>124</v>
      </c>
      <c r="S9" s="15" t="s">
        <v>125</v>
      </c>
      <c r="T9" s="15" t="s">
        <v>123</v>
      </c>
      <c r="U9" s="4" t="s">
        <v>245</v>
      </c>
      <c r="V9" s="4" t="s">
        <v>158</v>
      </c>
      <c r="W9" s="15" t="s">
        <v>246</v>
      </c>
      <c r="X9" s="15" t="s">
        <v>247</v>
      </c>
      <c r="Y9" s="15" t="s">
        <v>248</v>
      </c>
      <c r="Z9" s="15" t="s">
        <v>114</v>
      </c>
    </row>
    <row r="10" spans="1:27" ht="12.75">
      <c r="A10" s="14">
        <v>1</v>
      </c>
      <c r="B10" s="62">
        <v>10178000</v>
      </c>
      <c r="C10" s="7" t="s">
        <v>126</v>
      </c>
      <c r="D10" s="62">
        <v>12966576</v>
      </c>
      <c r="E10" s="5">
        <f aca="true" t="shared" si="0" ref="E10:E28">D10-B10</f>
        <v>2788576</v>
      </c>
      <c r="F10" s="5">
        <v>590000</v>
      </c>
      <c r="G10" s="5">
        <v>2001441</v>
      </c>
      <c r="H10" s="67">
        <f aca="true" t="shared" si="1" ref="H10:H28">G10-F10</f>
        <v>1411441</v>
      </c>
      <c r="I10" s="5">
        <f aca="true" t="shared" si="2" ref="I10:I28">Z10*12</f>
        <v>540000</v>
      </c>
      <c r="J10" s="67">
        <f aca="true" t="shared" si="3" ref="J10:J28">H10-I10</f>
        <v>871441</v>
      </c>
      <c r="K10" s="5">
        <f aca="true" t="shared" si="4" ref="K10:K28">J10*50%</f>
        <v>435720.5</v>
      </c>
      <c r="L10" s="5">
        <f aca="true" t="shared" si="5" ref="L10:L28">I10+K10</f>
        <v>975720.5</v>
      </c>
      <c r="M10" s="5">
        <f aca="true" t="shared" si="6" ref="M10:M28">J10*50%</f>
        <v>435720.5</v>
      </c>
      <c r="N10" s="5">
        <f>E10+(E10*40%)</f>
        <v>3904006.4000000004</v>
      </c>
      <c r="O10" s="5">
        <f>(M10*40%)+M10</f>
        <v>610008.7</v>
      </c>
      <c r="P10" s="5">
        <f aca="true" t="shared" si="7" ref="P10:P28">O10/13*2</f>
        <v>93847.4923076923</v>
      </c>
      <c r="Q10" s="5">
        <f aca="true" t="shared" si="8" ref="Q10:Q28">(P10/13)*11</f>
        <v>79409.41656804734</v>
      </c>
      <c r="R10" s="67">
        <f>(N10/12)*13</f>
        <v>4229340.266666668</v>
      </c>
      <c r="S10" s="67">
        <f>(H10+(H10*40%))</f>
        <v>1976017.4</v>
      </c>
      <c r="T10" s="5">
        <f>(S10/12)*13</f>
        <v>2140685.5166666666</v>
      </c>
      <c r="U10" s="5">
        <f>F33</f>
        <v>266179.2</v>
      </c>
      <c r="V10" s="5">
        <f>(U10/12)*13</f>
        <v>288360.80000000005</v>
      </c>
      <c r="W10" s="5">
        <f aca="true" t="shared" si="9" ref="W10:W28">R10*AA10</f>
        <v>21146701.333333336</v>
      </c>
      <c r="X10" s="5">
        <f aca="true" t="shared" si="10" ref="X10:X28">S10*AA10</f>
        <v>9880087</v>
      </c>
      <c r="Y10" s="5">
        <f aca="true" t="shared" si="11" ref="Y10:Y28">V10*AA10</f>
        <v>1441804.0000000002</v>
      </c>
      <c r="Z10" s="5">
        <v>45000</v>
      </c>
      <c r="AA10" s="1">
        <v>5</v>
      </c>
    </row>
    <row r="11" spans="1:27" ht="12.75">
      <c r="A11" s="14" t="s">
        <v>115</v>
      </c>
      <c r="B11" s="62">
        <v>10562000</v>
      </c>
      <c r="C11" s="7" t="s">
        <v>126</v>
      </c>
      <c r="D11" s="62">
        <v>12966576</v>
      </c>
      <c r="E11" s="5">
        <f t="shared" si="0"/>
        <v>2404576</v>
      </c>
      <c r="F11" s="5">
        <v>590000</v>
      </c>
      <c r="G11" s="5">
        <v>2001441</v>
      </c>
      <c r="H11" s="67">
        <f t="shared" si="1"/>
        <v>1411441</v>
      </c>
      <c r="I11" s="5">
        <f t="shared" si="2"/>
        <v>540000</v>
      </c>
      <c r="J11" s="67">
        <f t="shared" si="3"/>
        <v>871441</v>
      </c>
      <c r="K11" s="5">
        <f t="shared" si="4"/>
        <v>435720.5</v>
      </c>
      <c r="L11" s="5">
        <f t="shared" si="5"/>
        <v>975720.5</v>
      </c>
      <c r="M11" s="5">
        <f t="shared" si="6"/>
        <v>435720.5</v>
      </c>
      <c r="N11" s="5">
        <f aca="true" t="shared" si="12" ref="N11:N28">E11+(E11*40%)</f>
        <v>3366406.4</v>
      </c>
      <c r="O11" s="5">
        <f aca="true" t="shared" si="13" ref="O11:O28">(M11*40%)+M11</f>
        <v>610008.7</v>
      </c>
      <c r="P11" s="5">
        <f t="shared" si="7"/>
        <v>93847.4923076923</v>
      </c>
      <c r="Q11" s="5">
        <f t="shared" si="8"/>
        <v>79409.41656804734</v>
      </c>
      <c r="R11" s="67">
        <f aca="true" t="shared" si="14" ref="R11:R28">(N11/12)*13</f>
        <v>3646940.266666666</v>
      </c>
      <c r="S11" s="67">
        <f aca="true" t="shared" si="15" ref="S11:S28">(H11+(H11*40%))</f>
        <v>1976017.4</v>
      </c>
      <c r="T11" s="5">
        <f aca="true" t="shared" si="16" ref="T11:T28">(S11/12)*13</f>
        <v>2140685.5166666666</v>
      </c>
      <c r="U11" s="5">
        <f aca="true" t="shared" si="17" ref="U11:U28">F34</f>
        <v>250992</v>
      </c>
      <c r="V11" s="5">
        <f aca="true" t="shared" si="18" ref="V11:V28">(U11/12)*13</f>
        <v>271908</v>
      </c>
      <c r="W11" s="5">
        <f t="shared" si="9"/>
        <v>7293880.533333332</v>
      </c>
      <c r="X11" s="5">
        <f t="shared" si="10"/>
        <v>3952034.8</v>
      </c>
      <c r="Y11" s="5">
        <f t="shared" si="11"/>
        <v>543816</v>
      </c>
      <c r="Z11" s="5">
        <v>45000</v>
      </c>
      <c r="AA11" s="1">
        <v>2</v>
      </c>
    </row>
    <row r="12" spans="1:27" ht="12.75">
      <c r="A12" s="14">
        <v>2</v>
      </c>
      <c r="B12" s="62">
        <v>11294000</v>
      </c>
      <c r="C12" s="7" t="s">
        <v>126</v>
      </c>
      <c r="D12" s="62">
        <v>12966576</v>
      </c>
      <c r="E12" s="5">
        <f t="shared" si="0"/>
        <v>1672576</v>
      </c>
      <c r="F12" s="5">
        <v>680000</v>
      </c>
      <c r="G12" s="5">
        <v>2001441</v>
      </c>
      <c r="H12" s="67">
        <f t="shared" si="1"/>
        <v>1321441</v>
      </c>
      <c r="I12" s="5">
        <f t="shared" si="2"/>
        <v>540000</v>
      </c>
      <c r="J12" s="67">
        <f t="shared" si="3"/>
        <v>781441</v>
      </c>
      <c r="K12" s="5">
        <f t="shared" si="4"/>
        <v>390720.5</v>
      </c>
      <c r="L12" s="5">
        <f t="shared" si="5"/>
        <v>930720.5</v>
      </c>
      <c r="M12" s="5">
        <f t="shared" si="6"/>
        <v>390720.5</v>
      </c>
      <c r="N12" s="5">
        <f t="shared" si="12"/>
        <v>2341606.4</v>
      </c>
      <c r="O12" s="5">
        <f t="shared" si="13"/>
        <v>547008.7</v>
      </c>
      <c r="P12" s="5">
        <f t="shared" si="7"/>
        <v>84155.18461538461</v>
      </c>
      <c r="Q12" s="5">
        <f t="shared" si="8"/>
        <v>71208.23313609467</v>
      </c>
      <c r="R12" s="67">
        <f t="shared" si="14"/>
        <v>2536740.2666666666</v>
      </c>
      <c r="S12" s="67">
        <f t="shared" si="15"/>
        <v>1850017.4</v>
      </c>
      <c r="T12" s="5">
        <f t="shared" si="16"/>
        <v>2004185.5166666666</v>
      </c>
      <c r="U12" s="5">
        <f t="shared" si="17"/>
        <v>167983.2</v>
      </c>
      <c r="V12" s="5">
        <f t="shared" si="18"/>
        <v>181981.80000000002</v>
      </c>
      <c r="W12" s="5">
        <f t="shared" si="9"/>
        <v>17757181.866666667</v>
      </c>
      <c r="X12" s="5">
        <f t="shared" si="10"/>
        <v>12950121.799999999</v>
      </c>
      <c r="Y12" s="5">
        <f t="shared" si="11"/>
        <v>1273872.6</v>
      </c>
      <c r="Z12" s="5">
        <v>45000</v>
      </c>
      <c r="AA12" s="1">
        <v>7</v>
      </c>
    </row>
    <row r="13" spans="1:27" ht="12.75">
      <c r="A13" s="14" t="s">
        <v>116</v>
      </c>
      <c r="B13" s="62">
        <v>11750000</v>
      </c>
      <c r="C13" s="7" t="s">
        <v>126</v>
      </c>
      <c r="D13" s="62">
        <v>12966576</v>
      </c>
      <c r="E13" s="5">
        <f t="shared" si="0"/>
        <v>1216576</v>
      </c>
      <c r="F13" s="5">
        <v>680000</v>
      </c>
      <c r="G13" s="5">
        <v>2001441</v>
      </c>
      <c r="H13" s="67">
        <f t="shared" si="1"/>
        <v>1321441</v>
      </c>
      <c r="I13" s="5">
        <f t="shared" si="2"/>
        <v>540000</v>
      </c>
      <c r="J13" s="67">
        <f t="shared" si="3"/>
        <v>781441</v>
      </c>
      <c r="K13" s="5">
        <f t="shared" si="4"/>
        <v>390720.5</v>
      </c>
      <c r="L13" s="5">
        <f t="shared" si="5"/>
        <v>930720.5</v>
      </c>
      <c r="M13" s="5">
        <f t="shared" si="6"/>
        <v>390720.5</v>
      </c>
      <c r="N13" s="5">
        <f t="shared" si="12"/>
        <v>1703206.4</v>
      </c>
      <c r="O13" s="5">
        <f t="shared" si="13"/>
        <v>547008.7</v>
      </c>
      <c r="P13" s="5">
        <f t="shared" si="7"/>
        <v>84155.18461538461</v>
      </c>
      <c r="Q13" s="5">
        <f t="shared" si="8"/>
        <v>71208.23313609467</v>
      </c>
      <c r="R13" s="67">
        <f t="shared" si="14"/>
        <v>1845140.2666666666</v>
      </c>
      <c r="S13" s="67">
        <f t="shared" si="15"/>
        <v>1850017.4</v>
      </c>
      <c r="T13" s="5">
        <f t="shared" si="16"/>
        <v>2004185.5166666666</v>
      </c>
      <c r="U13" s="5">
        <f t="shared" si="17"/>
        <v>149940</v>
      </c>
      <c r="V13" s="5">
        <f t="shared" si="18"/>
        <v>162435</v>
      </c>
      <c r="W13" s="5">
        <f t="shared" si="9"/>
        <v>3690280.533333333</v>
      </c>
      <c r="X13" s="5">
        <f t="shared" si="10"/>
        <v>3700034.8</v>
      </c>
      <c r="Y13" s="5">
        <f t="shared" si="11"/>
        <v>324870</v>
      </c>
      <c r="Z13" s="5">
        <v>45000</v>
      </c>
      <c r="AA13" s="1">
        <v>2</v>
      </c>
    </row>
    <row r="14" spans="1:27" ht="12.75">
      <c r="A14" s="14">
        <v>3</v>
      </c>
      <c r="B14" s="62">
        <v>12489000</v>
      </c>
      <c r="C14" s="7" t="s">
        <v>126</v>
      </c>
      <c r="D14" s="62">
        <v>12966576</v>
      </c>
      <c r="E14" s="5">
        <f t="shared" si="0"/>
        <v>477576</v>
      </c>
      <c r="F14" s="5">
        <v>757762</v>
      </c>
      <c r="G14" s="5">
        <v>2001441</v>
      </c>
      <c r="H14" s="67">
        <f t="shared" si="1"/>
        <v>1243679</v>
      </c>
      <c r="I14" s="5">
        <f t="shared" si="2"/>
        <v>540000</v>
      </c>
      <c r="J14" s="67">
        <f t="shared" si="3"/>
        <v>703679</v>
      </c>
      <c r="K14" s="5">
        <f t="shared" si="4"/>
        <v>351839.5</v>
      </c>
      <c r="L14" s="5">
        <f t="shared" si="5"/>
        <v>891839.5</v>
      </c>
      <c r="M14" s="5">
        <f t="shared" si="6"/>
        <v>351839.5</v>
      </c>
      <c r="N14" s="5">
        <f t="shared" si="12"/>
        <v>668606.4</v>
      </c>
      <c r="O14" s="5">
        <f t="shared" si="13"/>
        <v>492575.30000000005</v>
      </c>
      <c r="P14" s="5">
        <f t="shared" si="7"/>
        <v>75780.81538461539</v>
      </c>
      <c r="Q14" s="5">
        <f t="shared" si="8"/>
        <v>64122.22840236687</v>
      </c>
      <c r="R14" s="67">
        <f t="shared" si="14"/>
        <v>724323.6000000001</v>
      </c>
      <c r="S14" s="67">
        <f t="shared" si="15"/>
        <v>1741150.6</v>
      </c>
      <c r="T14" s="5">
        <f t="shared" si="16"/>
        <v>1886246.4833333334</v>
      </c>
      <c r="U14" s="5">
        <f t="shared" si="17"/>
        <v>66830.4</v>
      </c>
      <c r="V14" s="5">
        <f t="shared" si="18"/>
        <v>72399.59999999999</v>
      </c>
      <c r="W14" s="5">
        <f t="shared" si="9"/>
        <v>61567506.00000001</v>
      </c>
      <c r="X14" s="5">
        <f t="shared" si="10"/>
        <v>147997801</v>
      </c>
      <c r="Y14" s="5">
        <f t="shared" si="11"/>
        <v>6153965.999999999</v>
      </c>
      <c r="Z14" s="5">
        <v>45000</v>
      </c>
      <c r="AA14" s="1">
        <v>85</v>
      </c>
    </row>
    <row r="15" spans="1:27" ht="12.75">
      <c r="A15" s="14" t="s">
        <v>117</v>
      </c>
      <c r="B15" s="62">
        <v>12889000</v>
      </c>
      <c r="C15" s="7" t="s">
        <v>126</v>
      </c>
      <c r="D15" s="62">
        <v>12966576</v>
      </c>
      <c r="E15" s="5">
        <f t="shared" si="0"/>
        <v>77576</v>
      </c>
      <c r="F15" s="5">
        <v>757762</v>
      </c>
      <c r="G15" s="5">
        <v>2001441</v>
      </c>
      <c r="H15" s="67">
        <f t="shared" si="1"/>
        <v>1243679</v>
      </c>
      <c r="I15" s="5">
        <f t="shared" si="2"/>
        <v>540000</v>
      </c>
      <c r="J15" s="67">
        <f t="shared" si="3"/>
        <v>703679</v>
      </c>
      <c r="K15" s="5">
        <f t="shared" si="4"/>
        <v>351839.5</v>
      </c>
      <c r="L15" s="5">
        <f t="shared" si="5"/>
        <v>891839.5</v>
      </c>
      <c r="M15" s="5">
        <f t="shared" si="6"/>
        <v>351839.5</v>
      </c>
      <c r="N15" s="5">
        <f t="shared" si="12"/>
        <v>108606.4</v>
      </c>
      <c r="O15" s="5">
        <f t="shared" si="13"/>
        <v>492575.30000000005</v>
      </c>
      <c r="P15" s="5">
        <f t="shared" si="7"/>
        <v>75780.81538461539</v>
      </c>
      <c r="Q15" s="5">
        <f t="shared" si="8"/>
        <v>64122.22840236687</v>
      </c>
      <c r="R15" s="67">
        <f t="shared" si="14"/>
        <v>117656.93333333332</v>
      </c>
      <c r="S15" s="67">
        <f t="shared" si="15"/>
        <v>1741150.6</v>
      </c>
      <c r="T15" s="5">
        <f t="shared" si="16"/>
        <v>1886246.4833333334</v>
      </c>
      <c r="U15" s="5">
        <f t="shared" si="17"/>
        <v>51004.8</v>
      </c>
      <c r="V15" s="5">
        <f t="shared" si="18"/>
        <v>55255.200000000004</v>
      </c>
      <c r="W15" s="5">
        <f t="shared" si="9"/>
        <v>6353474.399999999</v>
      </c>
      <c r="X15" s="5">
        <f t="shared" si="10"/>
        <v>94022132.4</v>
      </c>
      <c r="Y15" s="5">
        <f t="shared" si="11"/>
        <v>2983780.8000000003</v>
      </c>
      <c r="Z15" s="5">
        <v>45000</v>
      </c>
      <c r="AA15" s="1">
        <v>54</v>
      </c>
    </row>
    <row r="16" spans="1:27" ht="12.75">
      <c r="A16" s="14">
        <v>3</v>
      </c>
      <c r="B16" s="62">
        <v>12489000</v>
      </c>
      <c r="C16" s="7" t="s">
        <v>9</v>
      </c>
      <c r="D16" s="62">
        <v>14439948</v>
      </c>
      <c r="E16" s="5">
        <f t="shared" si="0"/>
        <v>1950948</v>
      </c>
      <c r="F16" s="5">
        <v>757762</v>
      </c>
      <c r="G16" s="5">
        <v>2162212</v>
      </c>
      <c r="H16" s="67">
        <f t="shared" si="1"/>
        <v>1404450</v>
      </c>
      <c r="I16" s="5">
        <f t="shared" si="2"/>
        <v>540000</v>
      </c>
      <c r="J16" s="67">
        <f t="shared" si="3"/>
        <v>864450</v>
      </c>
      <c r="K16" s="5">
        <f t="shared" si="4"/>
        <v>432225</v>
      </c>
      <c r="L16" s="5">
        <f t="shared" si="5"/>
        <v>972225</v>
      </c>
      <c r="M16" s="5">
        <f t="shared" si="6"/>
        <v>432225</v>
      </c>
      <c r="N16" s="5">
        <f t="shared" si="12"/>
        <v>2731327.2</v>
      </c>
      <c r="O16" s="5">
        <f t="shared" si="13"/>
        <v>605115</v>
      </c>
      <c r="P16" s="5">
        <f t="shared" si="7"/>
        <v>93094.61538461539</v>
      </c>
      <c r="Q16" s="5">
        <f t="shared" si="8"/>
        <v>78772.36686390534</v>
      </c>
      <c r="R16" s="67">
        <f t="shared" si="14"/>
        <v>2958937.8000000003</v>
      </c>
      <c r="S16" s="67">
        <f t="shared" si="15"/>
        <v>1966230</v>
      </c>
      <c r="T16" s="5">
        <f t="shared" si="16"/>
        <v>2130082.5</v>
      </c>
      <c r="U16" s="5">
        <f t="shared" si="17"/>
        <v>194644.8</v>
      </c>
      <c r="V16" s="5">
        <f t="shared" si="18"/>
        <v>210865.19999999998</v>
      </c>
      <c r="W16" s="5">
        <f t="shared" si="9"/>
        <v>106521760.80000001</v>
      </c>
      <c r="X16" s="5">
        <f t="shared" si="10"/>
        <v>70784280</v>
      </c>
      <c r="Y16" s="5">
        <f t="shared" si="11"/>
        <v>7591147.199999999</v>
      </c>
      <c r="Z16" s="5">
        <v>45000</v>
      </c>
      <c r="AA16" s="1">
        <v>36</v>
      </c>
    </row>
    <row r="17" spans="1:27" ht="12.75">
      <c r="A17" s="14" t="s">
        <v>117</v>
      </c>
      <c r="B17" s="62">
        <v>12889000</v>
      </c>
      <c r="C17" s="7" t="s">
        <v>9</v>
      </c>
      <c r="D17" s="62">
        <v>14439948</v>
      </c>
      <c r="E17" s="5">
        <f t="shared" si="0"/>
        <v>1550948</v>
      </c>
      <c r="F17" s="5">
        <v>757762</v>
      </c>
      <c r="G17" s="5">
        <v>2162212</v>
      </c>
      <c r="H17" s="67">
        <f t="shared" si="1"/>
        <v>1404450</v>
      </c>
      <c r="I17" s="5">
        <f t="shared" si="2"/>
        <v>540000</v>
      </c>
      <c r="J17" s="67">
        <f t="shared" si="3"/>
        <v>864450</v>
      </c>
      <c r="K17" s="5">
        <f t="shared" si="4"/>
        <v>432225</v>
      </c>
      <c r="L17" s="5">
        <f t="shared" si="5"/>
        <v>972225</v>
      </c>
      <c r="M17" s="5">
        <f t="shared" si="6"/>
        <v>432225</v>
      </c>
      <c r="N17" s="5">
        <f t="shared" si="12"/>
        <v>2171327.2</v>
      </c>
      <c r="O17" s="5">
        <f t="shared" si="13"/>
        <v>605115</v>
      </c>
      <c r="P17" s="5">
        <f t="shared" si="7"/>
        <v>93094.61538461539</v>
      </c>
      <c r="Q17" s="5">
        <f t="shared" si="8"/>
        <v>78772.36686390534</v>
      </c>
      <c r="R17" s="67">
        <f t="shared" si="14"/>
        <v>2352271.133333334</v>
      </c>
      <c r="S17" s="67">
        <f t="shared" si="15"/>
        <v>1966230</v>
      </c>
      <c r="T17" s="5">
        <f t="shared" si="16"/>
        <v>2130082.5</v>
      </c>
      <c r="U17" s="5">
        <f t="shared" si="17"/>
        <v>178819.2</v>
      </c>
      <c r="V17" s="5">
        <f t="shared" si="18"/>
        <v>193720.80000000002</v>
      </c>
      <c r="W17" s="5">
        <f t="shared" si="9"/>
        <v>61159049.466666676</v>
      </c>
      <c r="X17" s="5">
        <f t="shared" si="10"/>
        <v>51121980</v>
      </c>
      <c r="Y17" s="5">
        <f t="shared" si="11"/>
        <v>5036740.800000001</v>
      </c>
      <c r="Z17" s="5">
        <v>45000</v>
      </c>
      <c r="AA17" s="1">
        <v>26</v>
      </c>
    </row>
    <row r="18" spans="1:27" ht="12.75">
      <c r="A18" s="14">
        <v>4</v>
      </c>
      <c r="B18" s="62">
        <v>13741000</v>
      </c>
      <c r="C18" s="7" t="s">
        <v>10</v>
      </c>
      <c r="D18" s="62">
        <v>15419628</v>
      </c>
      <c r="E18" s="5">
        <f t="shared" si="0"/>
        <v>1678628</v>
      </c>
      <c r="F18" s="5">
        <v>847571</v>
      </c>
      <c r="G18" s="5">
        <v>2269787</v>
      </c>
      <c r="H18" s="67">
        <f t="shared" si="1"/>
        <v>1422216</v>
      </c>
      <c r="I18" s="5">
        <f t="shared" si="2"/>
        <v>540000</v>
      </c>
      <c r="J18" s="67">
        <f t="shared" si="3"/>
        <v>882216</v>
      </c>
      <c r="K18" s="5">
        <f t="shared" si="4"/>
        <v>441108</v>
      </c>
      <c r="L18" s="5">
        <f t="shared" si="5"/>
        <v>981108</v>
      </c>
      <c r="M18" s="5">
        <f t="shared" si="6"/>
        <v>441108</v>
      </c>
      <c r="N18" s="5">
        <f t="shared" si="12"/>
        <v>2350079.2</v>
      </c>
      <c r="O18" s="5">
        <f t="shared" si="13"/>
        <v>617551.2</v>
      </c>
      <c r="P18" s="5">
        <f t="shared" si="7"/>
        <v>95007.87692307691</v>
      </c>
      <c r="Q18" s="5">
        <f t="shared" si="8"/>
        <v>80391.28047337277</v>
      </c>
      <c r="R18" s="67">
        <f t="shared" si="14"/>
        <v>2545919.133333334</v>
      </c>
      <c r="S18" s="67">
        <f t="shared" si="15"/>
        <v>1991102.4</v>
      </c>
      <c r="T18" s="5">
        <f t="shared" si="16"/>
        <v>2157027.5999999996</v>
      </c>
      <c r="U18" s="5">
        <f t="shared" si="17"/>
        <v>163296</v>
      </c>
      <c r="V18" s="5">
        <f t="shared" si="18"/>
        <v>176904</v>
      </c>
      <c r="W18" s="5">
        <f t="shared" si="9"/>
        <v>766321659.1333334</v>
      </c>
      <c r="X18" s="5">
        <f t="shared" si="10"/>
        <v>599321822.4</v>
      </c>
      <c r="Y18" s="5">
        <f t="shared" si="11"/>
        <v>53248104</v>
      </c>
      <c r="Z18" s="5">
        <v>45000</v>
      </c>
      <c r="AA18" s="1">
        <v>301</v>
      </c>
    </row>
    <row r="19" spans="1:27" ht="12.75">
      <c r="A19" s="14" t="s">
        <v>118</v>
      </c>
      <c r="B19" s="62">
        <v>14277000</v>
      </c>
      <c r="C19" s="7" t="s">
        <v>10</v>
      </c>
      <c r="D19" s="62">
        <v>15419628</v>
      </c>
      <c r="E19" s="5">
        <f t="shared" si="0"/>
        <v>1142628</v>
      </c>
      <c r="F19" s="5">
        <v>847571</v>
      </c>
      <c r="G19" s="5">
        <v>2269787</v>
      </c>
      <c r="H19" s="67">
        <f t="shared" si="1"/>
        <v>1422216</v>
      </c>
      <c r="I19" s="5">
        <f t="shared" si="2"/>
        <v>540000</v>
      </c>
      <c r="J19" s="67">
        <f t="shared" si="3"/>
        <v>882216</v>
      </c>
      <c r="K19" s="5">
        <f t="shared" si="4"/>
        <v>441108</v>
      </c>
      <c r="L19" s="5">
        <f t="shared" si="5"/>
        <v>981108</v>
      </c>
      <c r="M19" s="5">
        <f t="shared" si="6"/>
        <v>441108</v>
      </c>
      <c r="N19" s="5">
        <f t="shared" si="12"/>
        <v>1599679.2</v>
      </c>
      <c r="O19" s="5">
        <f t="shared" si="13"/>
        <v>617551.2</v>
      </c>
      <c r="P19" s="5">
        <f t="shared" si="7"/>
        <v>95007.87692307691</v>
      </c>
      <c r="Q19" s="5">
        <f t="shared" si="8"/>
        <v>80391.28047337277</v>
      </c>
      <c r="R19" s="67">
        <f t="shared" si="14"/>
        <v>1732985.8</v>
      </c>
      <c r="S19" s="67">
        <f t="shared" si="15"/>
        <v>1991102.4</v>
      </c>
      <c r="T19" s="5">
        <f t="shared" si="16"/>
        <v>2157027.5999999996</v>
      </c>
      <c r="U19" s="5">
        <f t="shared" si="17"/>
        <v>142094.4</v>
      </c>
      <c r="V19" s="5">
        <f t="shared" si="18"/>
        <v>153935.59999999998</v>
      </c>
      <c r="W19" s="5">
        <f t="shared" si="9"/>
        <v>781576595.8000001</v>
      </c>
      <c r="X19" s="5">
        <f t="shared" si="10"/>
        <v>897987182.4</v>
      </c>
      <c r="Y19" s="5">
        <f t="shared" si="11"/>
        <v>69424955.6</v>
      </c>
      <c r="Z19" s="5">
        <v>45000</v>
      </c>
      <c r="AA19" s="1">
        <v>451</v>
      </c>
    </row>
    <row r="20" spans="1:27" ht="12.75">
      <c r="A20" s="14">
        <v>5</v>
      </c>
      <c r="B20" s="62">
        <v>15285000</v>
      </c>
      <c r="C20" s="7" t="s">
        <v>11</v>
      </c>
      <c r="D20" s="62">
        <v>16096380</v>
      </c>
      <c r="E20" s="5">
        <f t="shared" si="0"/>
        <v>811380</v>
      </c>
      <c r="F20" s="5">
        <v>971058</v>
      </c>
      <c r="G20" s="5">
        <v>2350510</v>
      </c>
      <c r="H20" s="67">
        <f t="shared" si="1"/>
        <v>1379452</v>
      </c>
      <c r="I20" s="5">
        <f t="shared" si="2"/>
        <v>540000</v>
      </c>
      <c r="J20" s="67">
        <f t="shared" si="3"/>
        <v>839452</v>
      </c>
      <c r="K20" s="5">
        <f t="shared" si="4"/>
        <v>419726</v>
      </c>
      <c r="L20" s="5">
        <f t="shared" si="5"/>
        <v>959726</v>
      </c>
      <c r="M20" s="5">
        <f t="shared" si="6"/>
        <v>419726</v>
      </c>
      <c r="N20" s="5">
        <f t="shared" si="12"/>
        <v>1135932</v>
      </c>
      <c r="O20" s="5">
        <f t="shared" si="13"/>
        <v>587616.4</v>
      </c>
      <c r="P20" s="5">
        <f t="shared" si="7"/>
        <v>90402.52307692308</v>
      </c>
      <c r="Q20" s="5">
        <f t="shared" si="8"/>
        <v>76494.4426035503</v>
      </c>
      <c r="R20" s="67">
        <f t="shared" si="14"/>
        <v>1230593</v>
      </c>
      <c r="S20" s="67">
        <f t="shared" si="15"/>
        <v>1931232.8</v>
      </c>
      <c r="T20" s="5">
        <f t="shared" si="16"/>
        <v>2092168.866666667</v>
      </c>
      <c r="U20" s="5">
        <f t="shared" si="17"/>
        <v>17539.2</v>
      </c>
      <c r="V20" s="5">
        <f t="shared" si="18"/>
        <v>19000.800000000003</v>
      </c>
      <c r="W20" s="5">
        <f t="shared" si="9"/>
        <v>45531941</v>
      </c>
      <c r="X20" s="5">
        <f t="shared" si="10"/>
        <v>71455613.60000001</v>
      </c>
      <c r="Y20" s="5">
        <f t="shared" si="11"/>
        <v>703029.6000000001</v>
      </c>
      <c r="Z20" s="5">
        <v>45000</v>
      </c>
      <c r="AA20" s="1">
        <v>37</v>
      </c>
    </row>
    <row r="21" spans="1:27" ht="12.75">
      <c r="A21" s="14" t="s">
        <v>119</v>
      </c>
      <c r="B21" s="62">
        <v>15729000</v>
      </c>
      <c r="C21" s="7" t="s">
        <v>11</v>
      </c>
      <c r="D21" s="62">
        <v>16096380</v>
      </c>
      <c r="E21" s="5">
        <f t="shared" si="0"/>
        <v>367380</v>
      </c>
      <c r="F21" s="5">
        <v>971058</v>
      </c>
      <c r="G21" s="5">
        <v>2350510</v>
      </c>
      <c r="H21" s="67">
        <f t="shared" si="1"/>
        <v>1379452</v>
      </c>
      <c r="I21" s="5">
        <f t="shared" si="2"/>
        <v>540000</v>
      </c>
      <c r="J21" s="67">
        <f t="shared" si="3"/>
        <v>839452</v>
      </c>
      <c r="K21" s="5">
        <f t="shared" si="4"/>
        <v>419726</v>
      </c>
      <c r="L21" s="5">
        <f t="shared" si="5"/>
        <v>959726</v>
      </c>
      <c r="M21" s="5">
        <f t="shared" si="6"/>
        <v>419726</v>
      </c>
      <c r="N21" s="5">
        <f t="shared" si="12"/>
        <v>514332</v>
      </c>
      <c r="O21" s="5">
        <f t="shared" si="13"/>
        <v>587616.4</v>
      </c>
      <c r="P21" s="5">
        <f t="shared" si="7"/>
        <v>90402.52307692308</v>
      </c>
      <c r="Q21" s="5">
        <f t="shared" si="8"/>
        <v>76494.4426035503</v>
      </c>
      <c r="R21" s="67">
        <f t="shared" si="14"/>
        <v>557193</v>
      </c>
      <c r="S21" s="67">
        <f t="shared" si="15"/>
        <v>1931232.8</v>
      </c>
      <c r="T21" s="5">
        <f t="shared" si="16"/>
        <v>2092168.866666667</v>
      </c>
      <c r="U21" s="5">
        <f t="shared" si="17"/>
        <v>0</v>
      </c>
      <c r="V21" s="5">
        <f t="shared" si="18"/>
        <v>0</v>
      </c>
      <c r="W21" s="5">
        <f t="shared" si="9"/>
        <v>83021757</v>
      </c>
      <c r="X21" s="5">
        <f t="shared" si="10"/>
        <v>287753687.2</v>
      </c>
      <c r="Y21" s="5">
        <f t="shared" si="11"/>
        <v>0</v>
      </c>
      <c r="Z21" s="5">
        <v>45000</v>
      </c>
      <c r="AA21" s="1">
        <v>149</v>
      </c>
    </row>
    <row r="22" spans="1:27" ht="12.75">
      <c r="A22" s="14">
        <v>5</v>
      </c>
      <c r="B22" s="62">
        <v>15285000</v>
      </c>
      <c r="C22" s="7" t="s">
        <v>121</v>
      </c>
      <c r="D22" s="62">
        <v>16773132</v>
      </c>
      <c r="E22" s="5">
        <f t="shared" si="0"/>
        <v>1488132</v>
      </c>
      <c r="F22" s="5">
        <v>971058</v>
      </c>
      <c r="G22" s="5">
        <v>2431234</v>
      </c>
      <c r="H22" s="67">
        <f t="shared" si="1"/>
        <v>1460176</v>
      </c>
      <c r="I22" s="5">
        <f t="shared" si="2"/>
        <v>540000</v>
      </c>
      <c r="J22" s="67">
        <f t="shared" si="3"/>
        <v>920176</v>
      </c>
      <c r="K22" s="5">
        <f t="shared" si="4"/>
        <v>460088</v>
      </c>
      <c r="L22" s="5">
        <f t="shared" si="5"/>
        <v>1000088</v>
      </c>
      <c r="M22" s="5">
        <f t="shared" si="6"/>
        <v>460088</v>
      </c>
      <c r="N22" s="5">
        <f t="shared" si="12"/>
        <v>2083384.8</v>
      </c>
      <c r="O22" s="5">
        <f t="shared" si="13"/>
        <v>644123.2</v>
      </c>
      <c r="P22" s="5">
        <f t="shared" si="7"/>
        <v>99095.87692307691</v>
      </c>
      <c r="Q22" s="5">
        <f t="shared" si="8"/>
        <v>83850.35739644969</v>
      </c>
      <c r="R22" s="67">
        <f t="shared" si="14"/>
        <v>2257000.1999999997</v>
      </c>
      <c r="S22" s="67">
        <f t="shared" si="15"/>
        <v>2044246.4</v>
      </c>
      <c r="T22" s="5">
        <f t="shared" si="16"/>
        <v>2214600.2666666666</v>
      </c>
      <c r="U22" s="5">
        <f t="shared" si="17"/>
        <v>103706.4</v>
      </c>
      <c r="V22" s="5">
        <f t="shared" si="18"/>
        <v>112348.59999999999</v>
      </c>
      <c r="W22" s="5">
        <f t="shared" si="9"/>
        <v>564250049.9999999</v>
      </c>
      <c r="X22" s="5">
        <f t="shared" si="10"/>
        <v>511061600</v>
      </c>
      <c r="Y22" s="5">
        <f t="shared" si="11"/>
        <v>28087149.999999996</v>
      </c>
      <c r="Z22" s="5">
        <v>45000</v>
      </c>
      <c r="AA22" s="1">
        <v>250</v>
      </c>
    </row>
    <row r="23" spans="1:27" ht="12.75">
      <c r="A23" s="14" t="s">
        <v>119</v>
      </c>
      <c r="B23" s="62">
        <v>15729000</v>
      </c>
      <c r="C23" s="7" t="s">
        <v>121</v>
      </c>
      <c r="D23" s="62">
        <v>16773132</v>
      </c>
      <c r="E23" s="5">
        <f t="shared" si="0"/>
        <v>1044132</v>
      </c>
      <c r="F23" s="5">
        <v>971058</v>
      </c>
      <c r="G23" s="5">
        <v>2431234</v>
      </c>
      <c r="H23" s="67">
        <f t="shared" si="1"/>
        <v>1460176</v>
      </c>
      <c r="I23" s="5">
        <f t="shared" si="2"/>
        <v>540000</v>
      </c>
      <c r="J23" s="67">
        <f t="shared" si="3"/>
        <v>920176</v>
      </c>
      <c r="K23" s="5">
        <f t="shared" si="4"/>
        <v>460088</v>
      </c>
      <c r="L23" s="5">
        <f t="shared" si="5"/>
        <v>1000088</v>
      </c>
      <c r="M23" s="5">
        <f t="shared" si="6"/>
        <v>460088</v>
      </c>
      <c r="N23" s="5">
        <f t="shared" si="12"/>
        <v>1461784.8</v>
      </c>
      <c r="O23" s="5">
        <f t="shared" si="13"/>
        <v>644123.2</v>
      </c>
      <c r="P23" s="5">
        <f t="shared" si="7"/>
        <v>99095.87692307691</v>
      </c>
      <c r="Q23" s="5">
        <f t="shared" si="8"/>
        <v>83850.35739644969</v>
      </c>
      <c r="R23" s="67">
        <f t="shared" si="14"/>
        <v>1583600.2000000002</v>
      </c>
      <c r="S23" s="67">
        <f t="shared" si="15"/>
        <v>2044246.4</v>
      </c>
      <c r="T23" s="5">
        <f t="shared" si="16"/>
        <v>2214600.2666666666</v>
      </c>
      <c r="U23" s="5">
        <f t="shared" si="17"/>
        <v>86167.2</v>
      </c>
      <c r="V23" s="5">
        <f t="shared" si="18"/>
        <v>93347.79999999999</v>
      </c>
      <c r="W23" s="5">
        <f t="shared" si="9"/>
        <v>95016012.00000001</v>
      </c>
      <c r="X23" s="5">
        <f t="shared" si="10"/>
        <v>122654784</v>
      </c>
      <c r="Y23" s="5">
        <f t="shared" si="11"/>
        <v>5600867.999999999</v>
      </c>
      <c r="Z23" s="5">
        <v>45000</v>
      </c>
      <c r="AA23" s="1">
        <v>60</v>
      </c>
    </row>
    <row r="24" spans="1:27" ht="12.75">
      <c r="A24" s="14">
        <v>6</v>
      </c>
      <c r="B24" s="62">
        <v>16695000</v>
      </c>
      <c r="C24" s="7" t="s">
        <v>13</v>
      </c>
      <c r="D24" s="62">
        <v>19979880</v>
      </c>
      <c r="E24" s="5">
        <f t="shared" si="0"/>
        <v>3284880</v>
      </c>
      <c r="F24" s="5">
        <v>1072093</v>
      </c>
      <c r="G24" s="5">
        <v>2732834</v>
      </c>
      <c r="H24" s="67">
        <f t="shared" si="1"/>
        <v>1660741</v>
      </c>
      <c r="I24" s="5">
        <f t="shared" si="2"/>
        <v>780000</v>
      </c>
      <c r="J24" s="67">
        <f t="shared" si="3"/>
        <v>880741</v>
      </c>
      <c r="K24" s="5">
        <f t="shared" si="4"/>
        <v>440370.5</v>
      </c>
      <c r="L24" s="5">
        <f t="shared" si="5"/>
        <v>1220370.5</v>
      </c>
      <c r="M24" s="5">
        <f t="shared" si="6"/>
        <v>440370.5</v>
      </c>
      <c r="N24" s="5">
        <f t="shared" si="12"/>
        <v>4598832</v>
      </c>
      <c r="O24" s="5">
        <f t="shared" si="13"/>
        <v>616518.7</v>
      </c>
      <c r="P24" s="5">
        <f t="shared" si="7"/>
        <v>94849.03076923077</v>
      </c>
      <c r="Q24" s="5">
        <f t="shared" si="8"/>
        <v>80256.8721893491</v>
      </c>
      <c r="R24" s="67">
        <f t="shared" si="14"/>
        <v>4982068</v>
      </c>
      <c r="S24" s="67">
        <f t="shared" si="15"/>
        <v>2325037.4</v>
      </c>
      <c r="T24" s="5">
        <f t="shared" si="16"/>
        <v>2518790.5166666666</v>
      </c>
      <c r="U24" s="5">
        <f t="shared" si="17"/>
        <v>267187.2</v>
      </c>
      <c r="V24" s="5">
        <f t="shared" si="18"/>
        <v>289452.80000000005</v>
      </c>
      <c r="W24" s="5">
        <f t="shared" si="9"/>
        <v>896772240</v>
      </c>
      <c r="X24" s="5">
        <f t="shared" si="10"/>
        <v>418506732</v>
      </c>
      <c r="Y24" s="5">
        <f t="shared" si="11"/>
        <v>52101504.00000001</v>
      </c>
      <c r="Z24" s="5">
        <v>65000</v>
      </c>
      <c r="AA24" s="1">
        <v>180</v>
      </c>
    </row>
    <row r="25" spans="1:27" ht="12.75">
      <c r="A25" s="14" t="s">
        <v>120</v>
      </c>
      <c r="B25" s="62">
        <v>17495000</v>
      </c>
      <c r="C25" s="7" t="s">
        <v>13</v>
      </c>
      <c r="D25" s="62">
        <v>19979880</v>
      </c>
      <c r="E25" s="5">
        <f t="shared" si="0"/>
        <v>2484880</v>
      </c>
      <c r="F25" s="5">
        <v>1072093</v>
      </c>
      <c r="G25" s="5">
        <v>2732834</v>
      </c>
      <c r="H25" s="67">
        <f t="shared" si="1"/>
        <v>1660741</v>
      </c>
      <c r="I25" s="5">
        <f t="shared" si="2"/>
        <v>780000</v>
      </c>
      <c r="J25" s="67">
        <f t="shared" si="3"/>
        <v>880741</v>
      </c>
      <c r="K25" s="5">
        <f t="shared" si="4"/>
        <v>440370.5</v>
      </c>
      <c r="L25" s="5">
        <f t="shared" si="5"/>
        <v>1220370.5</v>
      </c>
      <c r="M25" s="5">
        <f t="shared" si="6"/>
        <v>440370.5</v>
      </c>
      <c r="N25" s="5">
        <f t="shared" si="12"/>
        <v>3478832</v>
      </c>
      <c r="O25" s="5">
        <f t="shared" si="13"/>
        <v>616518.7</v>
      </c>
      <c r="P25" s="5">
        <f t="shared" si="7"/>
        <v>94849.03076923077</v>
      </c>
      <c r="Q25" s="5">
        <f t="shared" si="8"/>
        <v>80256.8721893491</v>
      </c>
      <c r="R25" s="67">
        <f t="shared" si="14"/>
        <v>3768734.666666667</v>
      </c>
      <c r="S25" s="67">
        <f t="shared" si="15"/>
        <v>2325037.4</v>
      </c>
      <c r="T25" s="5">
        <f t="shared" si="16"/>
        <v>2518790.5166666666</v>
      </c>
      <c r="U25" s="5">
        <f t="shared" si="17"/>
        <v>235552.8</v>
      </c>
      <c r="V25" s="5">
        <f t="shared" si="18"/>
        <v>255182.19999999998</v>
      </c>
      <c r="W25" s="5">
        <f t="shared" si="9"/>
        <v>1013789625.3333334</v>
      </c>
      <c r="X25" s="5">
        <f t="shared" si="10"/>
        <v>625435060.6</v>
      </c>
      <c r="Y25" s="5">
        <f t="shared" si="11"/>
        <v>68644011.8</v>
      </c>
      <c r="Z25" s="5">
        <v>65000</v>
      </c>
      <c r="AA25" s="1">
        <v>269</v>
      </c>
    </row>
    <row r="26" spans="1:27" ht="12.75">
      <c r="A26" s="14">
        <v>7</v>
      </c>
      <c r="B26" s="62">
        <v>19259000</v>
      </c>
      <c r="C26" s="7" t="s">
        <v>127</v>
      </c>
      <c r="D26" s="62">
        <v>24455000</v>
      </c>
      <c r="E26" s="5">
        <f t="shared" si="0"/>
        <v>5196000</v>
      </c>
      <c r="F26" s="5">
        <v>1324681</v>
      </c>
      <c r="G26" s="5">
        <v>3077724</v>
      </c>
      <c r="H26" s="67">
        <f t="shared" si="1"/>
        <v>1753043</v>
      </c>
      <c r="I26" s="5">
        <f t="shared" si="2"/>
        <v>780000</v>
      </c>
      <c r="J26" s="67">
        <f t="shared" si="3"/>
        <v>973043</v>
      </c>
      <c r="K26" s="5">
        <f t="shared" si="4"/>
        <v>486521.5</v>
      </c>
      <c r="L26" s="5">
        <f t="shared" si="5"/>
        <v>1266521.5</v>
      </c>
      <c r="M26" s="5">
        <f t="shared" si="6"/>
        <v>486521.5</v>
      </c>
      <c r="N26" s="5">
        <f t="shared" si="12"/>
        <v>7274400</v>
      </c>
      <c r="O26" s="5">
        <f t="shared" si="13"/>
        <v>681130.1</v>
      </c>
      <c r="P26" s="5">
        <f t="shared" si="7"/>
        <v>104789.24615384615</v>
      </c>
      <c r="Q26" s="5">
        <f t="shared" si="8"/>
        <v>88667.82366863904</v>
      </c>
      <c r="R26" s="67">
        <f t="shared" si="14"/>
        <v>7880600</v>
      </c>
      <c r="S26" s="67">
        <f t="shared" si="15"/>
        <v>2454260.2</v>
      </c>
      <c r="T26" s="5">
        <f t="shared" si="16"/>
        <v>2658781.883333334</v>
      </c>
      <c r="U26" s="5">
        <f t="shared" si="17"/>
        <v>484528.80000000005</v>
      </c>
      <c r="V26" s="5">
        <f t="shared" si="18"/>
        <v>524906.2000000001</v>
      </c>
      <c r="W26" s="5">
        <f t="shared" si="9"/>
        <v>1213612400</v>
      </c>
      <c r="X26" s="5">
        <f t="shared" si="10"/>
        <v>377956070.8</v>
      </c>
      <c r="Y26" s="5">
        <f t="shared" si="11"/>
        <v>80835554.80000001</v>
      </c>
      <c r="Z26" s="5">
        <v>65000</v>
      </c>
      <c r="AA26" s="1">
        <v>154</v>
      </c>
    </row>
    <row r="27" spans="1:27" ht="12.75">
      <c r="A27" s="14" t="s">
        <v>122</v>
      </c>
      <c r="B27" s="62">
        <v>21159000</v>
      </c>
      <c r="C27" s="7" t="s">
        <v>127</v>
      </c>
      <c r="D27" s="62">
        <v>24455000</v>
      </c>
      <c r="E27" s="5">
        <f t="shared" si="0"/>
        <v>3296000</v>
      </c>
      <c r="F27" s="5">
        <v>1324681</v>
      </c>
      <c r="G27" s="5">
        <v>3077724</v>
      </c>
      <c r="H27" s="67">
        <f t="shared" si="1"/>
        <v>1753043</v>
      </c>
      <c r="I27" s="5">
        <f t="shared" si="2"/>
        <v>780000</v>
      </c>
      <c r="J27" s="67">
        <f t="shared" si="3"/>
        <v>973043</v>
      </c>
      <c r="K27" s="5">
        <f t="shared" si="4"/>
        <v>486521.5</v>
      </c>
      <c r="L27" s="5">
        <f t="shared" si="5"/>
        <v>1266521.5</v>
      </c>
      <c r="M27" s="5">
        <f t="shared" si="6"/>
        <v>486521.5</v>
      </c>
      <c r="N27" s="5">
        <f t="shared" si="12"/>
        <v>4614400</v>
      </c>
      <c r="O27" s="5">
        <f t="shared" si="13"/>
        <v>681130.1</v>
      </c>
      <c r="P27" s="5">
        <f t="shared" si="7"/>
        <v>104789.24615384615</v>
      </c>
      <c r="Q27" s="5">
        <f t="shared" si="8"/>
        <v>88667.82366863904</v>
      </c>
      <c r="R27" s="67">
        <f t="shared" si="14"/>
        <v>4998933.333333333</v>
      </c>
      <c r="S27" s="67">
        <f t="shared" si="15"/>
        <v>2454260.2</v>
      </c>
      <c r="T27" s="5">
        <f t="shared" si="16"/>
        <v>2658781.883333334</v>
      </c>
      <c r="U27" s="5">
        <f t="shared" si="17"/>
        <v>409348.8</v>
      </c>
      <c r="V27" s="5">
        <f t="shared" si="18"/>
        <v>443461.2</v>
      </c>
      <c r="W27" s="5">
        <f t="shared" si="9"/>
        <v>194958400</v>
      </c>
      <c r="X27" s="5">
        <f t="shared" si="10"/>
        <v>95716147.80000001</v>
      </c>
      <c r="Y27" s="5">
        <f t="shared" si="11"/>
        <v>17294986.8</v>
      </c>
      <c r="Z27" s="5">
        <v>65000</v>
      </c>
      <c r="AA27" s="1">
        <v>39</v>
      </c>
    </row>
    <row r="28" spans="1:27" ht="12.75">
      <c r="A28" s="14">
        <v>8</v>
      </c>
      <c r="B28" s="62">
        <v>24455000</v>
      </c>
      <c r="C28" s="7" t="s">
        <v>127</v>
      </c>
      <c r="D28" s="62">
        <v>24455000</v>
      </c>
      <c r="E28" s="5">
        <f t="shared" si="0"/>
        <v>0</v>
      </c>
      <c r="F28" s="5">
        <v>1677077</v>
      </c>
      <c r="G28" s="5">
        <v>3077724</v>
      </c>
      <c r="H28" s="67">
        <f t="shared" si="1"/>
        <v>1400647</v>
      </c>
      <c r="I28" s="5">
        <f t="shared" si="2"/>
        <v>0</v>
      </c>
      <c r="J28" s="67">
        <f t="shared" si="3"/>
        <v>1400647</v>
      </c>
      <c r="K28" s="5">
        <f t="shared" si="4"/>
        <v>700323.5</v>
      </c>
      <c r="L28" s="5">
        <f t="shared" si="5"/>
        <v>700323.5</v>
      </c>
      <c r="M28" s="5">
        <f t="shared" si="6"/>
        <v>700323.5</v>
      </c>
      <c r="N28" s="5">
        <f t="shared" si="12"/>
        <v>0</v>
      </c>
      <c r="O28" s="5">
        <f t="shared" si="13"/>
        <v>980452.9</v>
      </c>
      <c r="P28" s="5">
        <f t="shared" si="7"/>
        <v>150838.9076923077</v>
      </c>
      <c r="Q28" s="5">
        <f t="shared" si="8"/>
        <v>127632.92189349112</v>
      </c>
      <c r="R28" s="67">
        <f t="shared" si="14"/>
        <v>0</v>
      </c>
      <c r="S28" s="67">
        <f t="shared" si="15"/>
        <v>1960905.8</v>
      </c>
      <c r="T28" s="5">
        <f t="shared" si="16"/>
        <v>2124314.6166666667</v>
      </c>
      <c r="U28" s="5">
        <f t="shared" si="17"/>
        <v>0</v>
      </c>
      <c r="V28" s="5">
        <f t="shared" si="18"/>
        <v>0</v>
      </c>
      <c r="W28" s="5">
        <f t="shared" si="9"/>
        <v>0</v>
      </c>
      <c r="X28" s="5">
        <f t="shared" si="10"/>
        <v>82358043.60000001</v>
      </c>
      <c r="Y28" s="5">
        <f t="shared" si="11"/>
        <v>0</v>
      </c>
      <c r="Z28" s="5">
        <v>0</v>
      </c>
      <c r="AA28" s="1">
        <v>42</v>
      </c>
    </row>
    <row r="29" spans="3:25" ht="12.75">
      <c r="C29" s="10"/>
      <c r="W29" s="5">
        <f>SUM(W10:W28)</f>
        <v>5940340515.2</v>
      </c>
      <c r="X29" s="5">
        <f>SUM(X10:X28)</f>
        <v>4484615216.2</v>
      </c>
      <c r="Y29" s="5">
        <f>SUM(Y10:Y28)</f>
        <v>401290162</v>
      </c>
    </row>
    <row r="30" ht="12.75">
      <c r="AB30" s="1">
        <f>SUM(AB10:AB29)</f>
        <v>0</v>
      </c>
    </row>
    <row r="31" spans="3:26" ht="12.75">
      <c r="C31" s="10"/>
      <c r="G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5" t="s">
        <v>93</v>
      </c>
      <c r="Y31" s="5">
        <f>W29+X29+Y29</f>
        <v>10826245893.4</v>
      </c>
      <c r="Z31" s="8"/>
    </row>
    <row r="32" spans="7:26" ht="12.75">
      <c r="G32" s="1" t="s">
        <v>128</v>
      </c>
      <c r="H32" t="s">
        <v>132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12"/>
      <c r="T32" s="12"/>
      <c r="U32" s="12"/>
      <c r="V32" s="92"/>
      <c r="W32" s="92"/>
      <c r="X32" s="92"/>
      <c r="Y32" s="92"/>
      <c r="Z32" s="8"/>
    </row>
    <row r="33" spans="1:26" ht="12.75">
      <c r="A33" s="1">
        <v>1</v>
      </c>
      <c r="B33" s="7">
        <v>11947716</v>
      </c>
      <c r="C33" s="7" t="s">
        <v>126</v>
      </c>
      <c r="D33" s="7">
        <v>12137844</v>
      </c>
      <c r="E33" s="84">
        <f>D33-B33</f>
        <v>190128</v>
      </c>
      <c r="F33" s="84">
        <f>((E33+(E33*40%)))</f>
        <v>266179.2</v>
      </c>
      <c r="G33" s="84">
        <f>(F33/12)*2</f>
        <v>44363.200000000004</v>
      </c>
      <c r="H33" s="85">
        <f>(F33/12)*11</f>
        <v>243997.60000000003</v>
      </c>
      <c r="I33" s="8"/>
      <c r="J33" s="8"/>
      <c r="K33" s="8"/>
      <c r="L33" s="8"/>
      <c r="M33" s="8"/>
      <c r="N33" s="8"/>
      <c r="O33" s="8"/>
      <c r="P33" s="8"/>
      <c r="Q33" s="8"/>
      <c r="R33" s="8"/>
      <c r="S33" s="12"/>
      <c r="T33" s="12"/>
      <c r="U33" s="12"/>
      <c r="V33" s="92"/>
      <c r="W33" s="92"/>
      <c r="X33" s="92"/>
      <c r="Y33" s="92"/>
      <c r="Z33" s="8"/>
    </row>
    <row r="34" spans="1:26" ht="12.75">
      <c r="A34" s="1" t="s">
        <v>115</v>
      </c>
      <c r="B34" s="7">
        <v>11958564</v>
      </c>
      <c r="C34" s="7" t="s">
        <v>126</v>
      </c>
      <c r="D34" s="7">
        <v>12137844</v>
      </c>
      <c r="E34" s="84">
        <f aca="true" t="shared" si="19" ref="E34:E51">D34-B34</f>
        <v>179280</v>
      </c>
      <c r="F34" s="84">
        <f aca="true" t="shared" si="20" ref="F34:F51">((E34+(E34*40%)))</f>
        <v>250992</v>
      </c>
      <c r="G34" s="84">
        <f aca="true" t="shared" si="21" ref="G34:G51">(F34/12)*2</f>
        <v>41832</v>
      </c>
      <c r="H34" s="85">
        <f aca="true" t="shared" si="22" ref="H34:H51">(F34/12)*11</f>
        <v>230076</v>
      </c>
      <c r="I34" s="8"/>
      <c r="J34" s="8"/>
      <c r="K34" s="8"/>
      <c r="L34" s="8"/>
      <c r="M34" s="65"/>
      <c r="N34" s="65"/>
      <c r="O34" s="65"/>
      <c r="P34" s="65"/>
      <c r="Q34" s="65"/>
      <c r="R34" s="65"/>
      <c r="S34" s="12"/>
      <c r="T34" s="12"/>
      <c r="U34" s="12"/>
      <c r="V34" s="92"/>
      <c r="W34" s="92"/>
      <c r="X34" s="92"/>
      <c r="Y34" s="92"/>
      <c r="Z34" s="8"/>
    </row>
    <row r="35" spans="1:26" ht="12.75">
      <c r="A35" s="1">
        <v>2</v>
      </c>
      <c r="B35" s="7">
        <v>12017856</v>
      </c>
      <c r="C35" s="7" t="s">
        <v>126</v>
      </c>
      <c r="D35" s="7">
        <v>12137844</v>
      </c>
      <c r="E35" s="84">
        <f t="shared" si="19"/>
        <v>119988</v>
      </c>
      <c r="F35" s="84">
        <f t="shared" si="20"/>
        <v>167983.2</v>
      </c>
      <c r="G35" s="84">
        <f t="shared" si="21"/>
        <v>27997.2</v>
      </c>
      <c r="H35" s="85">
        <f t="shared" si="22"/>
        <v>153984.6</v>
      </c>
      <c r="I35" s="8"/>
      <c r="J35" s="8"/>
      <c r="K35" s="8"/>
      <c r="L35" s="8"/>
      <c r="M35" s="65"/>
      <c r="N35" s="65"/>
      <c r="O35" s="65"/>
      <c r="P35" s="65"/>
      <c r="Q35" s="65"/>
      <c r="R35" s="65"/>
      <c r="S35" s="12"/>
      <c r="T35" s="12"/>
      <c r="U35" s="12"/>
      <c r="V35" s="92"/>
      <c r="W35" s="92"/>
      <c r="X35" s="92"/>
      <c r="Y35" s="92"/>
      <c r="Z35" s="8"/>
    </row>
    <row r="36" spans="1:28" ht="12.75">
      <c r="A36" s="1" t="s">
        <v>116</v>
      </c>
      <c r="B36" s="7">
        <v>12030744</v>
      </c>
      <c r="C36" s="7" t="s">
        <v>126</v>
      </c>
      <c r="D36" s="7">
        <v>12137844</v>
      </c>
      <c r="E36" s="84">
        <f t="shared" si="19"/>
        <v>107100</v>
      </c>
      <c r="F36" s="84">
        <f t="shared" si="20"/>
        <v>149940</v>
      </c>
      <c r="G36" s="84">
        <f t="shared" si="21"/>
        <v>24990</v>
      </c>
      <c r="H36" s="85">
        <f t="shared" si="22"/>
        <v>137445</v>
      </c>
      <c r="I36" s="8"/>
      <c r="J36" s="8"/>
      <c r="K36" s="8"/>
      <c r="L36" s="8"/>
      <c r="M36" s="65"/>
      <c r="N36" s="65"/>
      <c r="O36" s="65"/>
      <c r="P36" s="65"/>
      <c r="Q36" s="65"/>
      <c r="R36" s="65"/>
      <c r="S36" s="12"/>
      <c r="T36" s="12"/>
      <c r="U36" s="12"/>
      <c r="V36" s="92"/>
      <c r="W36" s="92"/>
      <c r="X36" s="92"/>
      <c r="Y36" s="92"/>
      <c r="Z36" s="8"/>
      <c r="AB36" s="1">
        <v>5571221329.464999</v>
      </c>
    </row>
    <row r="37" spans="1:26" ht="12.75">
      <c r="A37" s="1">
        <v>3</v>
      </c>
      <c r="B37" s="7">
        <v>12090108</v>
      </c>
      <c r="C37" s="7" t="s">
        <v>126</v>
      </c>
      <c r="D37" s="7">
        <v>12137844</v>
      </c>
      <c r="E37" s="84">
        <f t="shared" si="19"/>
        <v>47736</v>
      </c>
      <c r="F37" s="84">
        <f t="shared" si="20"/>
        <v>66830.4</v>
      </c>
      <c r="G37" s="84">
        <f t="shared" si="21"/>
        <v>11138.4</v>
      </c>
      <c r="H37" s="85">
        <f t="shared" si="22"/>
        <v>61261.2</v>
      </c>
      <c r="I37" s="8"/>
      <c r="J37" s="8"/>
      <c r="K37" s="8"/>
      <c r="L37" s="8"/>
      <c r="M37" s="65"/>
      <c r="N37" s="65"/>
      <c r="O37" s="65"/>
      <c r="P37" s="65"/>
      <c r="Q37" s="65"/>
      <c r="R37" s="65"/>
      <c r="S37" s="12"/>
      <c r="T37" s="12"/>
      <c r="U37" s="12"/>
      <c r="V37" s="92"/>
      <c r="W37" s="92"/>
      <c r="X37" s="92"/>
      <c r="Y37" s="92"/>
      <c r="Z37" s="8"/>
    </row>
    <row r="38" spans="1:26" ht="12.75">
      <c r="A38" s="1" t="s">
        <v>137</v>
      </c>
      <c r="B38" s="7">
        <v>12101412</v>
      </c>
      <c r="C38" s="7" t="s">
        <v>126</v>
      </c>
      <c r="D38" s="7">
        <v>12137844</v>
      </c>
      <c r="E38" s="84">
        <f t="shared" si="19"/>
        <v>36432</v>
      </c>
      <c r="F38" s="84">
        <f t="shared" si="20"/>
        <v>51004.8</v>
      </c>
      <c r="G38" s="84">
        <f t="shared" si="21"/>
        <v>8500.800000000001</v>
      </c>
      <c r="H38" s="85">
        <f t="shared" si="22"/>
        <v>46754.40000000001</v>
      </c>
      <c r="I38" s="8"/>
      <c r="J38" s="8"/>
      <c r="K38" s="8"/>
      <c r="L38" s="8"/>
      <c r="M38" s="65"/>
      <c r="N38" s="65"/>
      <c r="O38" s="65"/>
      <c r="P38" s="65"/>
      <c r="Q38" s="65"/>
      <c r="R38" s="65"/>
      <c r="S38" s="12"/>
      <c r="T38" s="12"/>
      <c r="U38" s="12"/>
      <c r="V38" s="92"/>
      <c r="W38" s="92"/>
      <c r="X38" s="92"/>
      <c r="Y38" s="92"/>
      <c r="Z38" s="8"/>
    </row>
    <row r="39" spans="1:26" ht="12.75">
      <c r="A39" s="1">
        <v>3</v>
      </c>
      <c r="B39" s="7">
        <v>12090108</v>
      </c>
      <c r="C39" s="7" t="s">
        <v>9</v>
      </c>
      <c r="D39" s="7">
        <v>12229140</v>
      </c>
      <c r="E39" s="84">
        <f t="shared" si="19"/>
        <v>139032</v>
      </c>
      <c r="F39" s="84">
        <f t="shared" si="20"/>
        <v>194644.8</v>
      </c>
      <c r="G39" s="84">
        <f t="shared" si="21"/>
        <v>32440.8</v>
      </c>
      <c r="H39" s="85">
        <f t="shared" si="22"/>
        <v>178424.4</v>
      </c>
      <c r="I39" s="8"/>
      <c r="J39" s="8"/>
      <c r="K39" s="8"/>
      <c r="L39" s="8"/>
      <c r="M39" s="65"/>
      <c r="N39" s="65"/>
      <c r="O39" s="65"/>
      <c r="P39" s="65"/>
      <c r="Q39" s="65"/>
      <c r="R39" s="65"/>
      <c r="S39" s="12"/>
      <c r="T39" s="12"/>
      <c r="U39" s="12"/>
      <c r="V39" s="92"/>
      <c r="W39" s="92"/>
      <c r="X39" s="92"/>
      <c r="Y39" s="92"/>
      <c r="Z39" s="8"/>
    </row>
    <row r="40" spans="1:26" ht="12.75">
      <c r="A40" s="1" t="s">
        <v>137</v>
      </c>
      <c r="B40" s="7">
        <v>12101412</v>
      </c>
      <c r="C40" s="7" t="s">
        <v>9</v>
      </c>
      <c r="D40" s="7">
        <v>12229140</v>
      </c>
      <c r="E40" s="84">
        <f t="shared" si="19"/>
        <v>127728</v>
      </c>
      <c r="F40" s="84">
        <f t="shared" si="20"/>
        <v>178819.2</v>
      </c>
      <c r="G40" s="84">
        <f t="shared" si="21"/>
        <v>29803.2</v>
      </c>
      <c r="H40" s="85">
        <f t="shared" si="22"/>
        <v>163917.6</v>
      </c>
      <c r="I40" s="8"/>
      <c r="J40" s="8"/>
      <c r="K40" s="13"/>
      <c r="L40" s="13"/>
      <c r="M40" s="65"/>
      <c r="N40" s="65"/>
      <c r="O40" s="65"/>
      <c r="P40" s="65"/>
      <c r="Q40" s="65"/>
      <c r="R40" s="65"/>
      <c r="S40" s="12"/>
      <c r="T40" s="12"/>
      <c r="U40" s="12"/>
      <c r="V40" s="92"/>
      <c r="W40" s="92"/>
      <c r="X40" s="92"/>
      <c r="Y40" s="92"/>
      <c r="Z40" s="8"/>
    </row>
    <row r="41" spans="1:25" ht="12.75">
      <c r="A41" s="1">
        <v>4</v>
      </c>
      <c r="B41" s="7">
        <v>12166344</v>
      </c>
      <c r="C41" s="7" t="s">
        <v>10</v>
      </c>
      <c r="D41" s="7">
        <v>12282984</v>
      </c>
      <c r="E41" s="84">
        <f t="shared" si="19"/>
        <v>116640</v>
      </c>
      <c r="F41" s="84">
        <f t="shared" si="20"/>
        <v>163296</v>
      </c>
      <c r="G41" s="84">
        <f t="shared" si="21"/>
        <v>27216</v>
      </c>
      <c r="H41" s="85">
        <f t="shared" si="22"/>
        <v>149688</v>
      </c>
      <c r="K41" s="13"/>
      <c r="L41" s="13"/>
      <c r="M41" s="65"/>
      <c r="N41" s="65"/>
      <c r="O41" s="65"/>
      <c r="P41" s="65"/>
      <c r="Q41" s="65"/>
      <c r="R41" s="65"/>
      <c r="S41" s="12"/>
      <c r="T41" s="12"/>
      <c r="U41" s="12"/>
      <c r="V41" s="92"/>
      <c r="W41" s="92"/>
      <c r="X41" s="92"/>
      <c r="Y41" s="92"/>
    </row>
    <row r="42" spans="1:25" ht="12.75">
      <c r="A42" s="1" t="s">
        <v>118</v>
      </c>
      <c r="B42" s="7">
        <v>12181488</v>
      </c>
      <c r="C42" s="7" t="s">
        <v>10</v>
      </c>
      <c r="D42" s="7">
        <v>12282984</v>
      </c>
      <c r="E42" s="84">
        <f t="shared" si="19"/>
        <v>101496</v>
      </c>
      <c r="F42" s="84">
        <f t="shared" si="20"/>
        <v>142094.4</v>
      </c>
      <c r="G42" s="84">
        <f t="shared" si="21"/>
        <v>23682.399999999998</v>
      </c>
      <c r="H42" s="85">
        <f t="shared" si="22"/>
        <v>130253.19999999998</v>
      </c>
      <c r="K42" s="13"/>
      <c r="L42" s="13"/>
      <c r="M42" s="65"/>
      <c r="N42" s="65"/>
      <c r="O42" s="65"/>
      <c r="P42" s="65"/>
      <c r="Q42" s="65"/>
      <c r="R42" s="65"/>
      <c r="S42" s="12"/>
      <c r="T42" s="12"/>
      <c r="U42" s="12"/>
      <c r="V42" s="92"/>
      <c r="W42" s="92"/>
      <c r="X42" s="92"/>
      <c r="Y42" s="92"/>
    </row>
    <row r="43" spans="1:25" ht="12.75">
      <c r="A43" s="1">
        <v>5</v>
      </c>
      <c r="B43" s="7">
        <v>12273408</v>
      </c>
      <c r="C43" s="7" t="s">
        <v>11</v>
      </c>
      <c r="D43" s="7">
        <v>12285936</v>
      </c>
      <c r="E43" s="84">
        <f t="shared" si="19"/>
        <v>12528</v>
      </c>
      <c r="F43" s="84">
        <f t="shared" si="20"/>
        <v>17539.2</v>
      </c>
      <c r="G43" s="84">
        <f t="shared" si="21"/>
        <v>2923.2000000000003</v>
      </c>
      <c r="H43" s="85">
        <f t="shared" si="22"/>
        <v>16077.600000000002</v>
      </c>
      <c r="K43" s="13"/>
      <c r="L43" s="13"/>
      <c r="M43" s="65"/>
      <c r="N43" s="65"/>
      <c r="O43" s="65"/>
      <c r="P43" s="65"/>
      <c r="Q43" s="65"/>
      <c r="R43" s="65"/>
      <c r="S43" s="12"/>
      <c r="T43" s="12"/>
      <c r="U43" s="12"/>
      <c r="V43" s="92"/>
      <c r="W43" s="92"/>
      <c r="X43" s="92"/>
      <c r="Y43" s="92"/>
    </row>
    <row r="44" spans="1:25" ht="12.75">
      <c r="A44" s="1" t="s">
        <v>119</v>
      </c>
      <c r="B44" s="7">
        <v>12285936</v>
      </c>
      <c r="C44" s="7" t="s">
        <v>11</v>
      </c>
      <c r="D44" s="7">
        <v>12285936</v>
      </c>
      <c r="E44" s="84">
        <f t="shared" si="19"/>
        <v>0</v>
      </c>
      <c r="F44" s="84">
        <f t="shared" si="20"/>
        <v>0</v>
      </c>
      <c r="G44" s="84">
        <f t="shared" si="21"/>
        <v>0</v>
      </c>
      <c r="H44" s="85">
        <f t="shared" si="22"/>
        <v>0</v>
      </c>
      <c r="K44" s="13"/>
      <c r="L44" s="13"/>
      <c r="M44" s="65"/>
      <c r="N44" s="65"/>
      <c r="O44" s="65"/>
      <c r="P44" s="65"/>
      <c r="Q44" s="65"/>
      <c r="R44" s="65"/>
      <c r="S44" s="12"/>
      <c r="T44" s="12"/>
      <c r="U44" s="12"/>
      <c r="V44" s="92"/>
      <c r="W44" s="92"/>
      <c r="X44" s="92"/>
      <c r="Y44" s="92"/>
    </row>
    <row r="45" spans="1:25" ht="12.75">
      <c r="A45" s="1">
        <v>5</v>
      </c>
      <c r="B45" s="7">
        <v>12273408</v>
      </c>
      <c r="C45" s="7" t="s">
        <v>121</v>
      </c>
      <c r="D45" s="7">
        <v>12347484</v>
      </c>
      <c r="E45" s="84">
        <f t="shared" si="19"/>
        <v>74076</v>
      </c>
      <c r="F45" s="84">
        <f t="shared" si="20"/>
        <v>103706.4</v>
      </c>
      <c r="G45" s="84">
        <f t="shared" si="21"/>
        <v>17284.399999999998</v>
      </c>
      <c r="H45" s="85">
        <f t="shared" si="22"/>
        <v>95064.19999999998</v>
      </c>
      <c r="K45" s="13"/>
      <c r="L45" s="13"/>
      <c r="M45" s="65"/>
      <c r="N45" s="65"/>
      <c r="O45" s="65"/>
      <c r="P45" s="65"/>
      <c r="Q45" s="65"/>
      <c r="R45" s="65"/>
      <c r="S45" s="12"/>
      <c r="T45" s="12"/>
      <c r="U45" s="12"/>
      <c r="V45" s="92"/>
      <c r="W45" s="92"/>
      <c r="X45" s="92"/>
      <c r="Y45" s="92"/>
    </row>
    <row r="46" spans="1:25" ht="12.75">
      <c r="A46" s="1" t="s">
        <v>119</v>
      </c>
      <c r="B46" s="7">
        <v>12285936</v>
      </c>
      <c r="C46" s="7" t="s">
        <v>121</v>
      </c>
      <c r="D46" s="7">
        <v>12347484</v>
      </c>
      <c r="E46" s="84">
        <f t="shared" si="19"/>
        <v>61548</v>
      </c>
      <c r="F46" s="84">
        <f t="shared" si="20"/>
        <v>86167.2</v>
      </c>
      <c r="G46" s="84">
        <f t="shared" si="21"/>
        <v>14361.199999999999</v>
      </c>
      <c r="H46" s="85">
        <f t="shared" si="22"/>
        <v>78986.59999999999</v>
      </c>
      <c r="K46" s="13"/>
      <c r="L46" s="13"/>
      <c r="M46" s="65"/>
      <c r="N46" s="65"/>
      <c r="O46" s="65"/>
      <c r="P46" s="65"/>
      <c r="Q46" s="65"/>
      <c r="R46" s="65"/>
      <c r="S46" s="12"/>
      <c r="T46" s="12"/>
      <c r="U46" s="12"/>
      <c r="V46" s="92"/>
      <c r="W46" s="92"/>
      <c r="X46" s="92"/>
      <c r="Y46" s="92"/>
    </row>
    <row r="47" spans="1:25" ht="12.75">
      <c r="A47" s="1">
        <v>6</v>
      </c>
      <c r="B47" s="7">
        <v>12355440</v>
      </c>
      <c r="C47" s="7" t="s">
        <v>13</v>
      </c>
      <c r="D47" s="7">
        <v>12546288</v>
      </c>
      <c r="E47" s="84">
        <f t="shared" si="19"/>
        <v>190848</v>
      </c>
      <c r="F47" s="84">
        <f t="shared" si="20"/>
        <v>267187.2</v>
      </c>
      <c r="G47" s="84">
        <f t="shared" si="21"/>
        <v>44531.200000000004</v>
      </c>
      <c r="H47" s="85">
        <f t="shared" si="22"/>
        <v>244921.60000000003</v>
      </c>
      <c r="K47" s="13"/>
      <c r="L47" s="13"/>
      <c r="M47" s="65"/>
      <c r="N47" s="65"/>
      <c r="O47" s="65"/>
      <c r="P47" s="65"/>
      <c r="Q47" s="65"/>
      <c r="R47" s="65"/>
      <c r="S47" s="12"/>
      <c r="T47" s="12"/>
      <c r="U47" s="12"/>
      <c r="V47" s="92"/>
      <c r="W47" s="92"/>
      <c r="X47" s="92"/>
      <c r="Y47" s="92"/>
    </row>
    <row r="48" spans="1:25" ht="12.75">
      <c r="A48" s="1" t="s">
        <v>138</v>
      </c>
      <c r="B48" s="7">
        <v>12378036</v>
      </c>
      <c r="C48" s="7" t="s">
        <v>13</v>
      </c>
      <c r="D48" s="7">
        <v>12546288</v>
      </c>
      <c r="E48" s="84">
        <f t="shared" si="19"/>
        <v>168252</v>
      </c>
      <c r="F48" s="84">
        <f t="shared" si="20"/>
        <v>235552.8</v>
      </c>
      <c r="G48" s="84">
        <f t="shared" si="21"/>
        <v>39258.799999999996</v>
      </c>
      <c r="H48" s="85">
        <f t="shared" si="22"/>
        <v>215923.39999999997</v>
      </c>
      <c r="K48" s="13"/>
      <c r="L48" s="13"/>
      <c r="M48" s="65"/>
      <c r="N48" s="65"/>
      <c r="O48" s="65"/>
      <c r="P48" s="65"/>
      <c r="Q48" s="65"/>
      <c r="R48" s="65"/>
      <c r="S48" s="12"/>
      <c r="T48" s="12"/>
      <c r="U48" s="12"/>
      <c r="V48" s="92"/>
      <c r="W48" s="92"/>
      <c r="X48" s="92"/>
      <c r="Y48" s="92"/>
    </row>
    <row r="49" spans="1:25" ht="12.75">
      <c r="A49" s="1">
        <v>7</v>
      </c>
      <c r="B49" s="7">
        <v>12500220</v>
      </c>
      <c r="C49" s="7" t="s">
        <v>127</v>
      </c>
      <c r="D49" s="7">
        <v>12846312</v>
      </c>
      <c r="E49" s="84">
        <f t="shared" si="19"/>
        <v>346092</v>
      </c>
      <c r="F49" s="84">
        <f t="shared" si="20"/>
        <v>484528.80000000005</v>
      </c>
      <c r="G49" s="84">
        <f t="shared" si="21"/>
        <v>80754.8</v>
      </c>
      <c r="H49" s="85">
        <f t="shared" si="22"/>
        <v>444151.4</v>
      </c>
      <c r="S49" s="12"/>
      <c r="T49" s="12"/>
      <c r="U49" s="12"/>
      <c r="V49" s="92"/>
      <c r="W49" s="92"/>
      <c r="X49" s="92"/>
      <c r="Y49" s="92"/>
    </row>
    <row r="50" spans="1:25" ht="12.75">
      <c r="A50" s="1" t="s">
        <v>122</v>
      </c>
      <c r="B50" s="7">
        <v>12553920</v>
      </c>
      <c r="C50" s="7" t="s">
        <v>127</v>
      </c>
      <c r="D50" s="7">
        <v>12846312</v>
      </c>
      <c r="E50" s="84">
        <f t="shared" si="19"/>
        <v>292392</v>
      </c>
      <c r="F50" s="84">
        <f t="shared" si="20"/>
        <v>409348.8</v>
      </c>
      <c r="G50" s="84">
        <f t="shared" si="21"/>
        <v>68224.8</v>
      </c>
      <c r="H50" s="85">
        <f t="shared" si="22"/>
        <v>375236.4</v>
      </c>
      <c r="S50" s="12"/>
      <c r="T50" s="12"/>
      <c r="U50" s="12"/>
      <c r="V50" s="92"/>
      <c r="W50" s="92"/>
      <c r="X50" s="92"/>
      <c r="Y50" s="92"/>
    </row>
    <row r="51" spans="1:8" ht="12.75">
      <c r="A51" s="1">
        <v>8</v>
      </c>
      <c r="B51" s="7">
        <v>12846312</v>
      </c>
      <c r="C51" s="7" t="s">
        <v>127</v>
      </c>
      <c r="D51" s="7">
        <v>12846312</v>
      </c>
      <c r="E51" s="84">
        <f t="shared" si="19"/>
        <v>0</v>
      </c>
      <c r="F51" s="84">
        <f t="shared" si="20"/>
        <v>0</v>
      </c>
      <c r="G51" s="84">
        <f t="shared" si="21"/>
        <v>0</v>
      </c>
      <c r="H51" s="85">
        <f t="shared" si="22"/>
        <v>0</v>
      </c>
    </row>
  </sheetData>
  <mergeCells count="3">
    <mergeCell ref="A2:Y2"/>
    <mergeCell ref="A5:Y5"/>
    <mergeCell ref="A3:Y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A2" sqref="A2:L2"/>
    </sheetView>
  </sheetViews>
  <sheetFormatPr defaultColWidth="9.140625" defaultRowHeight="12.75"/>
  <cols>
    <col min="1" max="1" width="10.7109375" style="1" customWidth="1"/>
    <col min="2" max="3" width="11.8515625" style="1" customWidth="1"/>
    <col min="4" max="5" width="10.421875" style="1" customWidth="1"/>
    <col min="6" max="6" width="13.140625" style="1" bestFit="1" customWidth="1"/>
    <col min="7" max="7" width="11.140625" style="1" customWidth="1"/>
    <col min="8" max="8" width="11.57421875" style="1" customWidth="1"/>
    <col min="9" max="9" width="11.8515625" style="1" customWidth="1"/>
    <col min="10" max="10" width="11.7109375" style="1" bestFit="1" customWidth="1"/>
    <col min="11" max="12" width="12.7109375" style="1" bestFit="1" customWidth="1"/>
    <col min="13" max="16384" width="9.140625" style="1" customWidth="1"/>
  </cols>
  <sheetData>
    <row r="1" ht="12.75">
      <c r="A1" t="s">
        <v>284</v>
      </c>
    </row>
    <row r="2" spans="1:12" ht="20.25">
      <c r="A2" s="185" t="s">
        <v>22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</row>
    <row r="3" spans="1:12" ht="20.25">
      <c r="A3" s="185" t="s">
        <v>100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</row>
    <row r="4" spans="1:12" ht="8.25" customHeight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1:12" ht="20.25">
      <c r="A5" s="185" t="s">
        <v>182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</row>
    <row r="6" spans="1:12" ht="11.25" customHeight="1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12" ht="23.25" hidden="1">
      <c r="A7" s="60"/>
      <c r="B7" s="60"/>
      <c r="C7" s="60"/>
      <c r="D7" s="60"/>
      <c r="E7" s="60"/>
      <c r="F7" s="60"/>
      <c r="G7" s="60"/>
      <c r="H7" s="60"/>
      <c r="I7" s="60" t="s">
        <v>101</v>
      </c>
      <c r="J7" s="60"/>
      <c r="K7" s="60"/>
      <c r="L7" s="60"/>
    </row>
    <row r="8" ht="12.75" hidden="1"/>
    <row r="9" spans="1:12" ht="143.25" customHeight="1" hidden="1">
      <c r="A9" s="2" t="s">
        <v>1</v>
      </c>
      <c r="B9" s="15" t="s">
        <v>104</v>
      </c>
      <c r="C9" s="15"/>
      <c r="D9" s="15" t="s">
        <v>105</v>
      </c>
      <c r="E9" s="15"/>
      <c r="F9" s="15" t="s">
        <v>4</v>
      </c>
      <c r="G9" s="15" t="s">
        <v>107</v>
      </c>
      <c r="H9" s="15" t="s">
        <v>6</v>
      </c>
      <c r="I9" s="15" t="s">
        <v>15</v>
      </c>
      <c r="J9" s="15" t="s">
        <v>108</v>
      </c>
      <c r="K9" s="15" t="s">
        <v>109</v>
      </c>
      <c r="L9" s="15" t="s">
        <v>110</v>
      </c>
    </row>
    <row r="10" spans="1:12" ht="12.75" hidden="1">
      <c r="A10" s="14">
        <v>1</v>
      </c>
      <c r="B10" s="62">
        <v>10178000</v>
      </c>
      <c r="C10" s="62"/>
      <c r="D10" s="7" t="s">
        <v>7</v>
      </c>
      <c r="E10" s="7"/>
      <c r="F10" s="62">
        <v>12966576</v>
      </c>
      <c r="G10" s="5">
        <v>590000</v>
      </c>
      <c r="H10" s="5">
        <v>1847484</v>
      </c>
      <c r="I10" s="5">
        <f aca="true" t="shared" si="0" ref="I10:I28">H10-G10</f>
        <v>1257484</v>
      </c>
      <c r="J10" s="5" t="e">
        <f>#REF!*12</f>
        <v>#REF!</v>
      </c>
      <c r="K10" s="5" t="e">
        <f aca="true" t="shared" si="1" ref="K10:K28">I10-J10</f>
        <v>#REF!</v>
      </c>
      <c r="L10" s="5" t="e">
        <f aca="true" t="shared" si="2" ref="L10:L28">K10*50%</f>
        <v>#REF!</v>
      </c>
    </row>
    <row r="11" spans="1:12" ht="12.75" hidden="1">
      <c r="A11" s="14" t="s">
        <v>115</v>
      </c>
      <c r="B11" s="62">
        <v>10562000</v>
      </c>
      <c r="C11" s="62"/>
      <c r="D11" s="7" t="s">
        <v>7</v>
      </c>
      <c r="E11" s="7"/>
      <c r="F11" s="62">
        <v>12966576</v>
      </c>
      <c r="G11" s="5">
        <v>590000</v>
      </c>
      <c r="H11" s="5">
        <v>1847484</v>
      </c>
      <c r="I11" s="5">
        <f t="shared" si="0"/>
        <v>1257484</v>
      </c>
      <c r="J11" s="5" t="e">
        <f>#REF!*12</f>
        <v>#REF!</v>
      </c>
      <c r="K11" s="5" t="e">
        <f t="shared" si="1"/>
        <v>#REF!</v>
      </c>
      <c r="L11" s="5" t="e">
        <f t="shared" si="2"/>
        <v>#REF!</v>
      </c>
    </row>
    <row r="12" spans="1:12" ht="12.75" hidden="1">
      <c r="A12" s="14">
        <v>2</v>
      </c>
      <c r="B12" s="62">
        <v>11294000</v>
      </c>
      <c r="C12" s="62"/>
      <c r="D12" s="7" t="s">
        <v>7</v>
      </c>
      <c r="E12" s="7"/>
      <c r="F12" s="62">
        <v>12966576</v>
      </c>
      <c r="G12" s="5">
        <v>680000</v>
      </c>
      <c r="H12" s="5">
        <v>1847484</v>
      </c>
      <c r="I12" s="5">
        <f t="shared" si="0"/>
        <v>1167484</v>
      </c>
      <c r="J12" s="5" t="e">
        <f>#REF!*12</f>
        <v>#REF!</v>
      </c>
      <c r="K12" s="5" t="e">
        <f t="shared" si="1"/>
        <v>#REF!</v>
      </c>
      <c r="L12" s="5" t="e">
        <f t="shared" si="2"/>
        <v>#REF!</v>
      </c>
    </row>
    <row r="13" spans="1:12" ht="12.75" hidden="1">
      <c r="A13" s="14" t="s">
        <v>116</v>
      </c>
      <c r="B13" s="62">
        <v>11750000</v>
      </c>
      <c r="C13" s="62"/>
      <c r="D13" s="7" t="s">
        <v>7</v>
      </c>
      <c r="E13" s="7"/>
      <c r="F13" s="62">
        <v>12966576</v>
      </c>
      <c r="G13" s="5">
        <v>680000</v>
      </c>
      <c r="H13" s="5">
        <v>1847484</v>
      </c>
      <c r="I13" s="5">
        <f t="shared" si="0"/>
        <v>1167484</v>
      </c>
      <c r="J13" s="5" t="e">
        <f>#REF!*12</f>
        <v>#REF!</v>
      </c>
      <c r="K13" s="5" t="e">
        <f t="shared" si="1"/>
        <v>#REF!</v>
      </c>
      <c r="L13" s="5" t="e">
        <f t="shared" si="2"/>
        <v>#REF!</v>
      </c>
    </row>
    <row r="14" spans="1:12" ht="12.75" hidden="1">
      <c r="A14" s="14">
        <v>3</v>
      </c>
      <c r="B14" s="62">
        <v>12489000</v>
      </c>
      <c r="C14" s="62"/>
      <c r="D14" s="7" t="s">
        <v>7</v>
      </c>
      <c r="E14" s="7"/>
      <c r="F14" s="62">
        <v>12966576</v>
      </c>
      <c r="G14" s="5">
        <v>757762</v>
      </c>
      <c r="H14" s="5">
        <v>2001441</v>
      </c>
      <c r="I14" s="5">
        <f t="shared" si="0"/>
        <v>1243679</v>
      </c>
      <c r="J14" s="5" t="e">
        <f>#REF!*12</f>
        <v>#REF!</v>
      </c>
      <c r="K14" s="5" t="e">
        <f t="shared" si="1"/>
        <v>#REF!</v>
      </c>
      <c r="L14" s="5" t="e">
        <f t="shared" si="2"/>
        <v>#REF!</v>
      </c>
    </row>
    <row r="15" spans="1:12" ht="12.75" hidden="1">
      <c r="A15" s="14" t="s">
        <v>117</v>
      </c>
      <c r="B15" s="62">
        <v>12889000</v>
      </c>
      <c r="C15" s="62"/>
      <c r="D15" s="7" t="s">
        <v>7</v>
      </c>
      <c r="E15" s="7"/>
      <c r="F15" s="62">
        <v>12966576</v>
      </c>
      <c r="G15" s="5">
        <v>757762</v>
      </c>
      <c r="H15" s="5">
        <v>2001441</v>
      </c>
      <c r="I15" s="5">
        <f t="shared" si="0"/>
        <v>1243679</v>
      </c>
      <c r="J15" s="5" t="e">
        <f>#REF!*12</f>
        <v>#REF!</v>
      </c>
      <c r="K15" s="5" t="e">
        <f t="shared" si="1"/>
        <v>#REF!</v>
      </c>
      <c r="L15" s="5" t="e">
        <f t="shared" si="2"/>
        <v>#REF!</v>
      </c>
    </row>
    <row r="16" spans="1:12" ht="12.75" hidden="1">
      <c r="A16" s="14">
        <v>3</v>
      </c>
      <c r="B16" s="62">
        <v>12489000</v>
      </c>
      <c r="C16" s="62"/>
      <c r="D16" s="7" t="s">
        <v>8</v>
      </c>
      <c r="E16" s="7"/>
      <c r="F16" s="62">
        <v>14439948</v>
      </c>
      <c r="G16" s="5">
        <v>757762</v>
      </c>
      <c r="H16" s="5">
        <v>2162212</v>
      </c>
      <c r="I16" s="5">
        <f t="shared" si="0"/>
        <v>1404450</v>
      </c>
      <c r="J16" s="5" t="e">
        <f>#REF!*12</f>
        <v>#REF!</v>
      </c>
      <c r="K16" s="5" t="e">
        <f t="shared" si="1"/>
        <v>#REF!</v>
      </c>
      <c r="L16" s="5" t="e">
        <f t="shared" si="2"/>
        <v>#REF!</v>
      </c>
    </row>
    <row r="17" spans="1:12" ht="12.75" hidden="1">
      <c r="A17" s="14" t="s">
        <v>117</v>
      </c>
      <c r="B17" s="62">
        <v>12889000</v>
      </c>
      <c r="C17" s="62"/>
      <c r="D17" s="7" t="s">
        <v>8</v>
      </c>
      <c r="E17" s="7"/>
      <c r="F17" s="62">
        <v>14439948</v>
      </c>
      <c r="G17" s="5">
        <v>757762</v>
      </c>
      <c r="H17" s="5">
        <v>2162212</v>
      </c>
      <c r="I17" s="5">
        <f t="shared" si="0"/>
        <v>1404450</v>
      </c>
      <c r="J17" s="5" t="e">
        <f>#REF!*12</f>
        <v>#REF!</v>
      </c>
      <c r="K17" s="5" t="e">
        <f t="shared" si="1"/>
        <v>#REF!</v>
      </c>
      <c r="L17" s="5" t="e">
        <f t="shared" si="2"/>
        <v>#REF!</v>
      </c>
    </row>
    <row r="18" spans="1:12" ht="12.75" hidden="1">
      <c r="A18" s="14">
        <v>4</v>
      </c>
      <c r="B18" s="62">
        <v>13741000</v>
      </c>
      <c r="C18" s="62"/>
      <c r="D18" s="7" t="s">
        <v>9</v>
      </c>
      <c r="E18" s="7"/>
      <c r="F18" s="62">
        <v>15419628</v>
      </c>
      <c r="G18" s="5">
        <v>847571</v>
      </c>
      <c r="H18" s="5">
        <v>2269787</v>
      </c>
      <c r="I18" s="5">
        <f t="shared" si="0"/>
        <v>1422216</v>
      </c>
      <c r="J18" s="5" t="e">
        <f>#REF!*12</f>
        <v>#REF!</v>
      </c>
      <c r="K18" s="5" t="e">
        <f t="shared" si="1"/>
        <v>#REF!</v>
      </c>
      <c r="L18" s="5" t="e">
        <f t="shared" si="2"/>
        <v>#REF!</v>
      </c>
    </row>
    <row r="19" spans="1:12" ht="12.75" hidden="1">
      <c r="A19" s="14" t="s">
        <v>118</v>
      </c>
      <c r="B19" s="62">
        <v>14277000</v>
      </c>
      <c r="C19" s="62"/>
      <c r="D19" s="7" t="s">
        <v>9</v>
      </c>
      <c r="E19" s="7"/>
      <c r="F19" s="62">
        <v>15419628</v>
      </c>
      <c r="G19" s="5">
        <v>847571</v>
      </c>
      <c r="H19" s="5">
        <v>2269787</v>
      </c>
      <c r="I19" s="5">
        <f t="shared" si="0"/>
        <v>1422216</v>
      </c>
      <c r="J19" s="5" t="e">
        <f>#REF!*12</f>
        <v>#REF!</v>
      </c>
      <c r="K19" s="5" t="e">
        <f t="shared" si="1"/>
        <v>#REF!</v>
      </c>
      <c r="L19" s="5" t="e">
        <f t="shared" si="2"/>
        <v>#REF!</v>
      </c>
    </row>
    <row r="20" spans="1:12" ht="12.75" hidden="1">
      <c r="A20" s="14">
        <v>5</v>
      </c>
      <c r="B20" s="62">
        <v>15285000</v>
      </c>
      <c r="C20" s="62"/>
      <c r="D20" s="7" t="s">
        <v>10</v>
      </c>
      <c r="E20" s="7"/>
      <c r="F20" s="62">
        <v>16096380</v>
      </c>
      <c r="G20" s="5">
        <v>971058</v>
      </c>
      <c r="H20" s="5">
        <v>2350504</v>
      </c>
      <c r="I20" s="5">
        <f t="shared" si="0"/>
        <v>1379446</v>
      </c>
      <c r="J20" s="5" t="e">
        <f>#REF!*12</f>
        <v>#REF!</v>
      </c>
      <c r="K20" s="5" t="e">
        <f t="shared" si="1"/>
        <v>#REF!</v>
      </c>
      <c r="L20" s="5" t="e">
        <f t="shared" si="2"/>
        <v>#REF!</v>
      </c>
    </row>
    <row r="21" spans="1:12" ht="12.75" hidden="1">
      <c r="A21" s="14" t="s">
        <v>119</v>
      </c>
      <c r="B21" s="62">
        <v>15729000</v>
      </c>
      <c r="C21" s="62"/>
      <c r="D21" s="7" t="s">
        <v>10</v>
      </c>
      <c r="E21" s="7"/>
      <c r="F21" s="62">
        <v>16096380</v>
      </c>
      <c r="G21" s="5">
        <v>971058</v>
      </c>
      <c r="H21" s="5">
        <v>2350504</v>
      </c>
      <c r="I21" s="5">
        <f t="shared" si="0"/>
        <v>1379446</v>
      </c>
      <c r="J21" s="5" t="e">
        <f>#REF!*12</f>
        <v>#REF!</v>
      </c>
      <c r="K21" s="5" t="e">
        <f t="shared" si="1"/>
        <v>#REF!</v>
      </c>
      <c r="L21" s="5" t="e">
        <f t="shared" si="2"/>
        <v>#REF!</v>
      </c>
    </row>
    <row r="22" spans="1:12" ht="12.75" hidden="1">
      <c r="A22" s="14">
        <v>5</v>
      </c>
      <c r="B22" s="62">
        <v>15285000</v>
      </c>
      <c r="C22" s="62"/>
      <c r="D22" s="7" t="s">
        <v>11</v>
      </c>
      <c r="E22" s="7"/>
      <c r="F22" s="62">
        <v>16773132</v>
      </c>
      <c r="G22" s="5">
        <v>971058</v>
      </c>
      <c r="H22" s="5">
        <v>2431234</v>
      </c>
      <c r="I22" s="5">
        <f t="shared" si="0"/>
        <v>1460176</v>
      </c>
      <c r="J22" s="5" t="e">
        <f>#REF!*12</f>
        <v>#REF!</v>
      </c>
      <c r="K22" s="5" t="e">
        <f t="shared" si="1"/>
        <v>#REF!</v>
      </c>
      <c r="L22" s="5" t="e">
        <f t="shared" si="2"/>
        <v>#REF!</v>
      </c>
    </row>
    <row r="23" spans="1:12" ht="12.75" hidden="1">
      <c r="A23" s="14" t="s">
        <v>119</v>
      </c>
      <c r="B23" s="62">
        <v>15729000</v>
      </c>
      <c r="C23" s="62"/>
      <c r="D23" s="7" t="s">
        <v>11</v>
      </c>
      <c r="E23" s="7"/>
      <c r="F23" s="62">
        <v>16773132</v>
      </c>
      <c r="G23" s="5">
        <v>971058</v>
      </c>
      <c r="H23" s="5">
        <v>2431234</v>
      </c>
      <c r="I23" s="5">
        <f t="shared" si="0"/>
        <v>1460176</v>
      </c>
      <c r="J23" s="5" t="e">
        <f>#REF!*12</f>
        <v>#REF!</v>
      </c>
      <c r="K23" s="5" t="e">
        <f t="shared" si="1"/>
        <v>#REF!</v>
      </c>
      <c r="L23" s="5" t="e">
        <f t="shared" si="2"/>
        <v>#REF!</v>
      </c>
    </row>
    <row r="24" spans="1:12" ht="12.75" hidden="1">
      <c r="A24" s="14">
        <v>6</v>
      </c>
      <c r="B24" s="62">
        <v>16695000</v>
      </c>
      <c r="C24" s="62"/>
      <c r="D24" s="7" t="s">
        <v>12</v>
      </c>
      <c r="E24" s="7"/>
      <c r="F24" s="62">
        <v>19979880</v>
      </c>
      <c r="G24" s="5">
        <v>1072093</v>
      </c>
      <c r="H24" s="5">
        <v>2732834</v>
      </c>
      <c r="I24" s="5">
        <f t="shared" si="0"/>
        <v>1660741</v>
      </c>
      <c r="J24" s="5" t="e">
        <f>#REF!*12</f>
        <v>#REF!</v>
      </c>
      <c r="K24" s="5" t="e">
        <f t="shared" si="1"/>
        <v>#REF!</v>
      </c>
      <c r="L24" s="5" t="e">
        <f t="shared" si="2"/>
        <v>#REF!</v>
      </c>
    </row>
    <row r="25" spans="1:12" ht="12.75" hidden="1">
      <c r="A25" s="14" t="s">
        <v>120</v>
      </c>
      <c r="B25" s="62">
        <v>17495000</v>
      </c>
      <c r="C25" s="62"/>
      <c r="D25" s="7" t="s">
        <v>12</v>
      </c>
      <c r="E25" s="7"/>
      <c r="F25" s="62">
        <v>19979880</v>
      </c>
      <c r="G25" s="5">
        <v>1072093</v>
      </c>
      <c r="H25" s="5">
        <v>2732834</v>
      </c>
      <c r="I25" s="5">
        <f t="shared" si="0"/>
        <v>1660741</v>
      </c>
      <c r="J25" s="5" t="e">
        <f>#REF!*12</f>
        <v>#REF!</v>
      </c>
      <c r="K25" s="5" t="e">
        <f t="shared" si="1"/>
        <v>#REF!</v>
      </c>
      <c r="L25" s="5" t="e">
        <f t="shared" si="2"/>
        <v>#REF!</v>
      </c>
    </row>
    <row r="26" spans="1:12" ht="12.75" hidden="1">
      <c r="A26" s="14">
        <v>7</v>
      </c>
      <c r="B26" s="62">
        <v>19259000</v>
      </c>
      <c r="C26" s="62"/>
      <c r="D26" s="7" t="s">
        <v>121</v>
      </c>
      <c r="E26" s="7"/>
      <c r="F26" s="62">
        <v>23001396</v>
      </c>
      <c r="G26" s="5">
        <v>1324681</v>
      </c>
      <c r="H26" s="5">
        <v>3077724</v>
      </c>
      <c r="I26" s="5">
        <f t="shared" si="0"/>
        <v>1753043</v>
      </c>
      <c r="J26" s="5" t="e">
        <f>#REF!*12</f>
        <v>#REF!</v>
      </c>
      <c r="K26" s="5" t="e">
        <f t="shared" si="1"/>
        <v>#REF!</v>
      </c>
      <c r="L26" s="5" t="e">
        <f t="shared" si="2"/>
        <v>#REF!</v>
      </c>
    </row>
    <row r="27" spans="1:12" ht="12.75" hidden="1">
      <c r="A27" s="14" t="s">
        <v>122</v>
      </c>
      <c r="B27" s="62">
        <v>21159000</v>
      </c>
      <c r="C27" s="62"/>
      <c r="D27" s="7" t="s">
        <v>121</v>
      </c>
      <c r="E27" s="7"/>
      <c r="F27" s="62">
        <v>23001396</v>
      </c>
      <c r="G27" s="5">
        <v>1324681</v>
      </c>
      <c r="H27" s="5">
        <v>3077724</v>
      </c>
      <c r="I27" s="5">
        <f t="shared" si="0"/>
        <v>1753043</v>
      </c>
      <c r="J27" s="5" t="e">
        <f>#REF!*12</f>
        <v>#REF!</v>
      </c>
      <c r="K27" s="5" t="e">
        <f t="shared" si="1"/>
        <v>#REF!</v>
      </c>
      <c r="L27" s="5" t="e">
        <f t="shared" si="2"/>
        <v>#REF!</v>
      </c>
    </row>
    <row r="28" spans="1:12" ht="12.75" hidden="1">
      <c r="A28" s="14">
        <v>8</v>
      </c>
      <c r="B28" s="62">
        <v>24455000</v>
      </c>
      <c r="C28" s="62"/>
      <c r="D28" s="7" t="s">
        <v>13</v>
      </c>
      <c r="E28" s="7"/>
      <c r="F28" s="62">
        <v>24455000</v>
      </c>
      <c r="G28" s="5">
        <v>1677077</v>
      </c>
      <c r="H28" s="5">
        <v>3077724</v>
      </c>
      <c r="I28" s="5">
        <f t="shared" si="0"/>
        <v>1400647</v>
      </c>
      <c r="J28" s="5" t="e">
        <f>#REF!*12</f>
        <v>#REF!</v>
      </c>
      <c r="K28" s="5" t="e">
        <f t="shared" si="1"/>
        <v>#REF!</v>
      </c>
      <c r="L28" s="5" t="e">
        <f t="shared" si="2"/>
        <v>#REF!</v>
      </c>
    </row>
    <row r="29" spans="4:5" ht="12.75" hidden="1">
      <c r="D29" s="10"/>
      <c r="E29" s="10"/>
    </row>
    <row r="30" spans="4:5" ht="12.75" hidden="1">
      <c r="D30" s="10"/>
      <c r="E30" s="10"/>
    </row>
    <row r="31" spans="4:12" ht="12.75" hidden="1">
      <c r="D31" s="10"/>
      <c r="E31" s="10"/>
      <c r="H31" s="8"/>
      <c r="J31" s="8"/>
      <c r="K31" s="8"/>
      <c r="L31" s="8"/>
    </row>
    <row r="32" spans="1:12" ht="69.75" customHeight="1">
      <c r="A32" s="2" t="s">
        <v>1</v>
      </c>
      <c r="B32" s="15" t="s">
        <v>2</v>
      </c>
      <c r="C32" s="108" t="s">
        <v>183</v>
      </c>
      <c r="D32" s="15" t="s">
        <v>3</v>
      </c>
      <c r="E32" s="15" t="s">
        <v>184</v>
      </c>
      <c r="F32" s="108" t="s">
        <v>183</v>
      </c>
      <c r="G32" s="15" t="s">
        <v>181</v>
      </c>
      <c r="H32" s="58" t="s">
        <v>205</v>
      </c>
      <c r="I32" s="15" t="s">
        <v>14</v>
      </c>
      <c r="J32" s="15" t="s">
        <v>212</v>
      </c>
      <c r="K32" s="15" t="s">
        <v>213</v>
      </c>
      <c r="L32" s="15" t="s">
        <v>214</v>
      </c>
    </row>
    <row r="33" spans="1:12" ht="12.75">
      <c r="A33" s="14">
        <v>1</v>
      </c>
      <c r="B33" s="62">
        <v>202277</v>
      </c>
      <c r="C33" s="62">
        <f aca="true" t="shared" si="3" ref="C33:C51">B33*12</f>
        <v>2427324</v>
      </c>
      <c r="D33" s="7" t="s">
        <v>126</v>
      </c>
      <c r="E33" s="7">
        <v>202277</v>
      </c>
      <c r="F33" s="62">
        <f aca="true" t="shared" si="4" ref="F33:F51">E33*12</f>
        <v>2427324</v>
      </c>
      <c r="G33" s="5">
        <f aca="true" t="shared" si="5" ref="G33:G51">F33-C33</f>
        <v>0</v>
      </c>
      <c r="H33" s="5">
        <f>G33+(G33*40%)</f>
        <v>0</v>
      </c>
      <c r="I33" s="5">
        <v>5</v>
      </c>
      <c r="J33" s="5">
        <f aca="true" t="shared" si="6" ref="J33:J51">(H33*I33)/2</f>
        <v>0</v>
      </c>
      <c r="K33" s="5">
        <f aca="true" t="shared" si="7" ref="K33:K51">H33*I33</f>
        <v>0</v>
      </c>
      <c r="L33" s="5">
        <f aca="true" t="shared" si="8" ref="L33:L51">H33*I33</f>
        <v>0</v>
      </c>
    </row>
    <row r="34" spans="1:12" ht="12.75">
      <c r="A34" s="14" t="s">
        <v>115</v>
      </c>
      <c r="B34" s="62">
        <v>202277</v>
      </c>
      <c r="C34" s="62">
        <f t="shared" si="3"/>
        <v>2427324</v>
      </c>
      <c r="D34" s="7" t="s">
        <v>126</v>
      </c>
      <c r="E34" s="7">
        <v>202277</v>
      </c>
      <c r="F34" s="62">
        <f t="shared" si="4"/>
        <v>2427324</v>
      </c>
      <c r="G34" s="5">
        <f t="shared" si="5"/>
        <v>0</v>
      </c>
      <c r="H34" s="5">
        <f aca="true" t="shared" si="9" ref="H34:H51">G34+(G34*40%)</f>
        <v>0</v>
      </c>
      <c r="I34" s="5">
        <v>2</v>
      </c>
      <c r="J34" s="5">
        <f t="shared" si="6"/>
        <v>0</v>
      </c>
      <c r="K34" s="5">
        <f t="shared" si="7"/>
        <v>0</v>
      </c>
      <c r="L34" s="5">
        <f t="shared" si="8"/>
        <v>0</v>
      </c>
    </row>
    <row r="35" spans="1:12" ht="12.75">
      <c r="A35" s="14">
        <v>2</v>
      </c>
      <c r="B35" s="62">
        <v>202277</v>
      </c>
      <c r="C35" s="62">
        <f t="shared" si="3"/>
        <v>2427324</v>
      </c>
      <c r="D35" s="7" t="s">
        <v>126</v>
      </c>
      <c r="E35" s="7">
        <v>202277</v>
      </c>
      <c r="F35" s="62">
        <f t="shared" si="4"/>
        <v>2427324</v>
      </c>
      <c r="G35" s="5">
        <f t="shared" si="5"/>
        <v>0</v>
      </c>
      <c r="H35" s="5">
        <f t="shared" si="9"/>
        <v>0</v>
      </c>
      <c r="I35" s="5">
        <v>7</v>
      </c>
      <c r="J35" s="5">
        <f t="shared" si="6"/>
        <v>0</v>
      </c>
      <c r="K35" s="5">
        <f t="shared" si="7"/>
        <v>0</v>
      </c>
      <c r="L35" s="5">
        <f t="shared" si="8"/>
        <v>0</v>
      </c>
    </row>
    <row r="36" spans="1:12" ht="12.75">
      <c r="A36" s="14" t="s">
        <v>116</v>
      </c>
      <c r="B36" s="62">
        <v>202277</v>
      </c>
      <c r="C36" s="62">
        <f t="shared" si="3"/>
        <v>2427324</v>
      </c>
      <c r="D36" s="7" t="s">
        <v>126</v>
      </c>
      <c r="E36" s="7">
        <v>202277</v>
      </c>
      <c r="F36" s="62">
        <f t="shared" si="4"/>
        <v>2427324</v>
      </c>
      <c r="G36" s="5">
        <f t="shared" si="5"/>
        <v>0</v>
      </c>
      <c r="H36" s="5">
        <f t="shared" si="9"/>
        <v>0</v>
      </c>
      <c r="I36" s="5">
        <v>2</v>
      </c>
      <c r="J36" s="5">
        <f t="shared" si="6"/>
        <v>0</v>
      </c>
      <c r="K36" s="5">
        <f t="shared" si="7"/>
        <v>0</v>
      </c>
      <c r="L36" s="5">
        <f t="shared" si="8"/>
        <v>0</v>
      </c>
    </row>
    <row r="37" spans="1:12" ht="12.75">
      <c r="A37" s="14">
        <v>3</v>
      </c>
      <c r="B37" s="62">
        <v>224753</v>
      </c>
      <c r="C37" s="62">
        <f t="shared" si="3"/>
        <v>2697036</v>
      </c>
      <c r="D37" s="7" t="s">
        <v>126</v>
      </c>
      <c r="E37" s="7">
        <v>202277</v>
      </c>
      <c r="F37" s="62">
        <f t="shared" si="4"/>
        <v>2427324</v>
      </c>
      <c r="G37" s="5">
        <f t="shared" si="5"/>
        <v>-269712</v>
      </c>
      <c r="H37" s="5">
        <f t="shared" si="9"/>
        <v>-377596.8</v>
      </c>
      <c r="I37" s="5">
        <v>85</v>
      </c>
      <c r="J37" s="5">
        <f t="shared" si="6"/>
        <v>-16047864</v>
      </c>
      <c r="K37" s="5">
        <f t="shared" si="7"/>
        <v>-32095728</v>
      </c>
      <c r="L37" s="5">
        <f t="shared" si="8"/>
        <v>-32095728</v>
      </c>
    </row>
    <row r="38" spans="1:12" ht="12.75">
      <c r="A38" s="14" t="s">
        <v>117</v>
      </c>
      <c r="B38" s="62">
        <v>224753</v>
      </c>
      <c r="C38" s="62">
        <f t="shared" si="3"/>
        <v>2697036</v>
      </c>
      <c r="D38" s="7" t="s">
        <v>126</v>
      </c>
      <c r="E38" s="7">
        <v>202277</v>
      </c>
      <c r="F38" s="62">
        <f t="shared" si="4"/>
        <v>2427324</v>
      </c>
      <c r="G38" s="5">
        <f t="shared" si="5"/>
        <v>-269712</v>
      </c>
      <c r="H38" s="5">
        <f t="shared" si="9"/>
        <v>-377596.8</v>
      </c>
      <c r="I38" s="5">
        <v>54</v>
      </c>
      <c r="J38" s="5">
        <f t="shared" si="6"/>
        <v>-10195113.6</v>
      </c>
      <c r="K38" s="5">
        <f t="shared" si="7"/>
        <v>-20390227.2</v>
      </c>
      <c r="L38" s="5">
        <f t="shared" si="8"/>
        <v>-20390227.2</v>
      </c>
    </row>
    <row r="39" spans="1:12" ht="12.75">
      <c r="A39" s="14">
        <v>3</v>
      </c>
      <c r="B39" s="62">
        <v>224753</v>
      </c>
      <c r="C39" s="62">
        <f t="shared" si="3"/>
        <v>2697036</v>
      </c>
      <c r="D39" s="7" t="s">
        <v>9</v>
      </c>
      <c r="E39" s="7">
        <v>224753</v>
      </c>
      <c r="F39" s="62">
        <f t="shared" si="4"/>
        <v>2697036</v>
      </c>
      <c r="G39" s="5">
        <f t="shared" si="5"/>
        <v>0</v>
      </c>
      <c r="H39" s="5">
        <f t="shared" si="9"/>
        <v>0</v>
      </c>
      <c r="I39" s="5">
        <v>36</v>
      </c>
      <c r="J39" s="5">
        <f t="shared" si="6"/>
        <v>0</v>
      </c>
      <c r="K39" s="5">
        <f t="shared" si="7"/>
        <v>0</v>
      </c>
      <c r="L39" s="5">
        <f t="shared" si="8"/>
        <v>0</v>
      </c>
    </row>
    <row r="40" spans="1:12" ht="12.75">
      <c r="A40" s="14" t="s">
        <v>117</v>
      </c>
      <c r="B40" s="62">
        <v>224753</v>
      </c>
      <c r="C40" s="62">
        <f t="shared" si="3"/>
        <v>2697036</v>
      </c>
      <c r="D40" s="7" t="s">
        <v>9</v>
      </c>
      <c r="E40" s="7">
        <v>224753</v>
      </c>
      <c r="F40" s="62">
        <f t="shared" si="4"/>
        <v>2697036</v>
      </c>
      <c r="G40" s="5">
        <f t="shared" si="5"/>
        <v>0</v>
      </c>
      <c r="H40" s="5">
        <f t="shared" si="9"/>
        <v>0</v>
      </c>
      <c r="I40" s="5">
        <v>26</v>
      </c>
      <c r="J40" s="5">
        <f t="shared" si="6"/>
        <v>0</v>
      </c>
      <c r="K40" s="5">
        <f t="shared" si="7"/>
        <v>0</v>
      </c>
      <c r="L40" s="5">
        <f t="shared" si="8"/>
        <v>0</v>
      </c>
    </row>
    <row r="41" spans="1:12" ht="12.75">
      <c r="A41" s="14">
        <v>4</v>
      </c>
      <c r="B41" s="62">
        <v>224753</v>
      </c>
      <c r="C41" s="62">
        <f t="shared" si="3"/>
        <v>2697036</v>
      </c>
      <c r="D41" s="7" t="s">
        <v>10</v>
      </c>
      <c r="E41" s="7">
        <v>224753</v>
      </c>
      <c r="F41" s="62">
        <f t="shared" si="4"/>
        <v>2697036</v>
      </c>
      <c r="G41" s="5">
        <f t="shared" si="5"/>
        <v>0</v>
      </c>
      <c r="H41" s="5">
        <f t="shared" si="9"/>
        <v>0</v>
      </c>
      <c r="I41" s="5">
        <v>301</v>
      </c>
      <c r="J41" s="5">
        <f t="shared" si="6"/>
        <v>0</v>
      </c>
      <c r="K41" s="5">
        <f t="shared" si="7"/>
        <v>0</v>
      </c>
      <c r="L41" s="5">
        <f t="shared" si="8"/>
        <v>0</v>
      </c>
    </row>
    <row r="42" spans="1:12" ht="12.75">
      <c r="A42" s="14" t="s">
        <v>118</v>
      </c>
      <c r="B42" s="62">
        <v>224753</v>
      </c>
      <c r="C42" s="62">
        <f t="shared" si="3"/>
        <v>2697036</v>
      </c>
      <c r="D42" s="7" t="s">
        <v>10</v>
      </c>
      <c r="E42" s="7">
        <v>224753</v>
      </c>
      <c r="F42" s="62">
        <f t="shared" si="4"/>
        <v>2697036</v>
      </c>
      <c r="G42" s="5">
        <f t="shared" si="5"/>
        <v>0</v>
      </c>
      <c r="H42" s="5">
        <f t="shared" si="9"/>
        <v>0</v>
      </c>
      <c r="I42" s="5">
        <v>451</v>
      </c>
      <c r="J42" s="5">
        <f t="shared" si="6"/>
        <v>0</v>
      </c>
      <c r="K42" s="5">
        <f t="shared" si="7"/>
        <v>0</v>
      </c>
      <c r="L42" s="5">
        <f t="shared" si="8"/>
        <v>0</v>
      </c>
    </row>
    <row r="43" spans="1:12" ht="12.75">
      <c r="A43" s="14">
        <v>5</v>
      </c>
      <c r="B43" s="62">
        <v>280942</v>
      </c>
      <c r="C43" s="62">
        <f t="shared" si="3"/>
        <v>3371304</v>
      </c>
      <c r="D43" s="7" t="s">
        <v>11</v>
      </c>
      <c r="E43" s="7">
        <v>224753</v>
      </c>
      <c r="F43" s="62">
        <f t="shared" si="4"/>
        <v>2697036</v>
      </c>
      <c r="G43" s="5">
        <f t="shared" si="5"/>
        <v>-674268</v>
      </c>
      <c r="H43" s="5">
        <f t="shared" si="9"/>
        <v>-943975.2</v>
      </c>
      <c r="I43" s="5">
        <v>37</v>
      </c>
      <c r="J43" s="5">
        <f t="shared" si="6"/>
        <v>-17463541.2</v>
      </c>
      <c r="K43" s="5">
        <f t="shared" si="7"/>
        <v>-34927082.4</v>
      </c>
      <c r="L43" s="5">
        <f t="shared" si="8"/>
        <v>-34927082.4</v>
      </c>
    </row>
    <row r="44" spans="1:12" ht="12.75">
      <c r="A44" s="14" t="s">
        <v>119</v>
      </c>
      <c r="B44" s="62">
        <v>280942</v>
      </c>
      <c r="C44" s="62">
        <f t="shared" si="3"/>
        <v>3371304</v>
      </c>
      <c r="D44" s="7" t="s">
        <v>11</v>
      </c>
      <c r="E44" s="7">
        <v>224753</v>
      </c>
      <c r="F44" s="62">
        <f t="shared" si="4"/>
        <v>2697036</v>
      </c>
      <c r="G44" s="5">
        <f t="shared" si="5"/>
        <v>-674268</v>
      </c>
      <c r="H44" s="5">
        <f t="shared" si="9"/>
        <v>-943975.2</v>
      </c>
      <c r="I44" s="5">
        <v>149</v>
      </c>
      <c r="J44" s="5">
        <f t="shared" si="6"/>
        <v>-70326152.39999999</v>
      </c>
      <c r="K44" s="5">
        <f t="shared" si="7"/>
        <v>-140652304.79999998</v>
      </c>
      <c r="L44" s="5">
        <f t="shared" si="8"/>
        <v>-140652304.79999998</v>
      </c>
    </row>
    <row r="45" spans="1:12" ht="12.75">
      <c r="A45" s="14">
        <v>5</v>
      </c>
      <c r="B45" s="62">
        <v>280942</v>
      </c>
      <c r="C45" s="62">
        <f t="shared" si="3"/>
        <v>3371304</v>
      </c>
      <c r="D45" s="7" t="s">
        <v>121</v>
      </c>
      <c r="E45" s="7">
        <v>280942</v>
      </c>
      <c r="F45" s="62">
        <f t="shared" si="4"/>
        <v>3371304</v>
      </c>
      <c r="G45" s="5">
        <f t="shared" si="5"/>
        <v>0</v>
      </c>
      <c r="H45" s="5">
        <f t="shared" si="9"/>
        <v>0</v>
      </c>
      <c r="I45" s="5">
        <v>250</v>
      </c>
      <c r="J45" s="5">
        <f t="shared" si="6"/>
        <v>0</v>
      </c>
      <c r="K45" s="5">
        <f t="shared" si="7"/>
        <v>0</v>
      </c>
      <c r="L45" s="5">
        <f t="shared" si="8"/>
        <v>0</v>
      </c>
    </row>
    <row r="46" spans="1:12" ht="12.75">
      <c r="A46" s="14" t="s">
        <v>119</v>
      </c>
      <c r="B46" s="62">
        <v>280942</v>
      </c>
      <c r="C46" s="62">
        <f t="shared" si="3"/>
        <v>3371304</v>
      </c>
      <c r="D46" s="7" t="s">
        <v>121</v>
      </c>
      <c r="E46" s="7">
        <v>280942</v>
      </c>
      <c r="F46" s="62">
        <f t="shared" si="4"/>
        <v>3371304</v>
      </c>
      <c r="G46" s="5">
        <f t="shared" si="5"/>
        <v>0</v>
      </c>
      <c r="H46" s="5">
        <f t="shared" si="9"/>
        <v>0</v>
      </c>
      <c r="I46" s="5">
        <v>60</v>
      </c>
      <c r="J46" s="5">
        <f t="shared" si="6"/>
        <v>0</v>
      </c>
      <c r="K46" s="5">
        <f t="shared" si="7"/>
        <v>0</v>
      </c>
      <c r="L46" s="5">
        <f t="shared" si="8"/>
        <v>0</v>
      </c>
    </row>
    <row r="47" spans="1:12" ht="12.75">
      <c r="A47" s="14">
        <v>6</v>
      </c>
      <c r="B47" s="62">
        <v>280942</v>
      </c>
      <c r="C47" s="62">
        <f t="shared" si="3"/>
        <v>3371304</v>
      </c>
      <c r="D47" s="7" t="s">
        <v>13</v>
      </c>
      <c r="E47" s="7">
        <v>280942</v>
      </c>
      <c r="F47" s="62">
        <f t="shared" si="4"/>
        <v>3371304</v>
      </c>
      <c r="G47" s="5">
        <f t="shared" si="5"/>
        <v>0</v>
      </c>
      <c r="H47" s="5">
        <f t="shared" si="9"/>
        <v>0</v>
      </c>
      <c r="I47" s="5">
        <v>180</v>
      </c>
      <c r="J47" s="5">
        <f t="shared" si="6"/>
        <v>0</v>
      </c>
      <c r="K47" s="5">
        <f t="shared" si="7"/>
        <v>0</v>
      </c>
      <c r="L47" s="5">
        <f t="shared" si="8"/>
        <v>0</v>
      </c>
    </row>
    <row r="48" spans="1:12" ht="12.75">
      <c r="A48" s="14" t="s">
        <v>120</v>
      </c>
      <c r="B48" s="62">
        <v>280942</v>
      </c>
      <c r="C48" s="62">
        <f t="shared" si="3"/>
        <v>3371304</v>
      </c>
      <c r="D48" s="7" t="s">
        <v>13</v>
      </c>
      <c r="E48" s="7">
        <v>280942</v>
      </c>
      <c r="F48" s="62">
        <f t="shared" si="4"/>
        <v>3371304</v>
      </c>
      <c r="G48" s="5">
        <f t="shared" si="5"/>
        <v>0</v>
      </c>
      <c r="H48" s="5">
        <f t="shared" si="9"/>
        <v>0</v>
      </c>
      <c r="I48" s="5">
        <v>269</v>
      </c>
      <c r="J48" s="5">
        <f t="shared" si="6"/>
        <v>0</v>
      </c>
      <c r="K48" s="5">
        <f t="shared" si="7"/>
        <v>0</v>
      </c>
      <c r="L48" s="5">
        <f t="shared" si="8"/>
        <v>0</v>
      </c>
    </row>
    <row r="49" spans="1:12" ht="12.75">
      <c r="A49" s="14">
        <v>7</v>
      </c>
      <c r="B49" s="62">
        <v>337130</v>
      </c>
      <c r="C49" s="62">
        <f t="shared" si="3"/>
        <v>4045560</v>
      </c>
      <c r="D49" s="7" t="s">
        <v>127</v>
      </c>
      <c r="E49" s="7">
        <v>337130</v>
      </c>
      <c r="F49" s="62">
        <f t="shared" si="4"/>
        <v>4045560</v>
      </c>
      <c r="G49" s="5">
        <f t="shared" si="5"/>
        <v>0</v>
      </c>
      <c r="H49" s="5">
        <f t="shared" si="9"/>
        <v>0</v>
      </c>
      <c r="I49" s="5">
        <v>154</v>
      </c>
      <c r="J49" s="5">
        <f t="shared" si="6"/>
        <v>0</v>
      </c>
      <c r="K49" s="5">
        <f t="shared" si="7"/>
        <v>0</v>
      </c>
      <c r="L49" s="5">
        <f t="shared" si="8"/>
        <v>0</v>
      </c>
    </row>
    <row r="50" spans="1:12" ht="12.75">
      <c r="A50" s="14" t="s">
        <v>122</v>
      </c>
      <c r="B50" s="62">
        <v>337130</v>
      </c>
      <c r="C50" s="62">
        <f t="shared" si="3"/>
        <v>4045560</v>
      </c>
      <c r="D50" s="7" t="s">
        <v>127</v>
      </c>
      <c r="E50" s="7">
        <v>337130</v>
      </c>
      <c r="F50" s="62">
        <f t="shared" si="4"/>
        <v>4045560</v>
      </c>
      <c r="G50" s="5">
        <f t="shared" si="5"/>
        <v>0</v>
      </c>
      <c r="H50" s="5">
        <f t="shared" si="9"/>
        <v>0</v>
      </c>
      <c r="I50" s="5">
        <v>39</v>
      </c>
      <c r="J50" s="5">
        <f t="shared" si="6"/>
        <v>0</v>
      </c>
      <c r="K50" s="5">
        <f t="shared" si="7"/>
        <v>0</v>
      </c>
      <c r="L50" s="5">
        <f t="shared" si="8"/>
        <v>0</v>
      </c>
    </row>
    <row r="51" spans="1:12" ht="12.75">
      <c r="A51" s="14">
        <v>8</v>
      </c>
      <c r="B51" s="62">
        <v>337130</v>
      </c>
      <c r="C51" s="62">
        <f t="shared" si="3"/>
        <v>4045560</v>
      </c>
      <c r="D51" s="7" t="s">
        <v>127</v>
      </c>
      <c r="E51" s="7">
        <v>337130</v>
      </c>
      <c r="F51" s="62">
        <f t="shared" si="4"/>
        <v>4045560</v>
      </c>
      <c r="G51" s="5">
        <f t="shared" si="5"/>
        <v>0</v>
      </c>
      <c r="H51" s="5">
        <f t="shared" si="9"/>
        <v>0</v>
      </c>
      <c r="I51" s="5">
        <v>42</v>
      </c>
      <c r="J51" s="5">
        <f t="shared" si="6"/>
        <v>0</v>
      </c>
      <c r="K51" s="5">
        <f t="shared" si="7"/>
        <v>0</v>
      </c>
      <c r="L51" s="5">
        <f t="shared" si="8"/>
        <v>0</v>
      </c>
    </row>
    <row r="52" spans="10:12" ht="12.75">
      <c r="J52" s="1">
        <f>SUM(J33:J51)</f>
        <v>-114032671.19999999</v>
      </c>
      <c r="K52" s="1">
        <f>SUM(K33:K51)</f>
        <v>-228065342.39999998</v>
      </c>
      <c r="L52" s="1">
        <f>SUM(L33:L51)</f>
        <v>-228065342.39999998</v>
      </c>
    </row>
    <row r="54" ht="12.75">
      <c r="I54" s="1">
        <f>SUM(I33:I52)</f>
        <v>2149</v>
      </c>
    </row>
  </sheetData>
  <mergeCells count="3">
    <mergeCell ref="A2:L2"/>
    <mergeCell ref="A3:L3"/>
    <mergeCell ref="A5:L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1"/>
  <sheetViews>
    <sheetView workbookViewId="0" topLeftCell="A148">
      <selection activeCell="J159" sqref="J159"/>
    </sheetView>
  </sheetViews>
  <sheetFormatPr defaultColWidth="9.140625" defaultRowHeight="12.75"/>
  <cols>
    <col min="1" max="1" width="7.57421875" style="1" customWidth="1"/>
    <col min="2" max="2" width="14.8515625" style="23" bestFit="1" customWidth="1"/>
    <col min="3" max="3" width="13.7109375" style="1" customWidth="1"/>
    <col min="4" max="4" width="14.00390625" style="1" customWidth="1"/>
    <col min="5" max="5" width="16.7109375" style="23" hidden="1" customWidth="1"/>
    <col min="6" max="6" width="10.28125" style="1" hidden="1" customWidth="1"/>
    <col min="7" max="7" width="11.57421875" style="1" hidden="1" customWidth="1"/>
    <col min="8" max="9" width="0" style="1" hidden="1" customWidth="1"/>
    <col min="10" max="11" width="12.7109375" style="1" bestFit="1" customWidth="1"/>
    <col min="12" max="13" width="9.140625" style="1" customWidth="1"/>
    <col min="14" max="14" width="12.7109375" style="1" bestFit="1" customWidth="1"/>
    <col min="15" max="16384" width="9.140625" style="1" customWidth="1"/>
  </cols>
  <sheetData>
    <row r="1" ht="12.75">
      <c r="A1" s="41" t="s">
        <v>40</v>
      </c>
    </row>
    <row r="2" spans="1:11" ht="20.25">
      <c r="A2" s="177" t="s">
        <v>17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</row>
    <row r="3" spans="1:4" ht="18">
      <c r="A3" s="33"/>
      <c r="B3" s="33"/>
      <c r="C3" s="33"/>
      <c r="D3" s="33"/>
    </row>
    <row r="4" spans="1:11" ht="15">
      <c r="A4" s="175" t="s">
        <v>16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</row>
    <row r="5" spans="1:11" ht="15">
      <c r="A5" s="176" t="s">
        <v>25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</row>
    <row r="6" spans="1:11" ht="15">
      <c r="A6" s="175" t="s">
        <v>26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</row>
    <row r="7" spans="1:11" ht="15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</row>
    <row r="8" spans="1:11" ht="13.5" thickBot="1">
      <c r="A8" s="174" t="s">
        <v>206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</row>
    <row r="9" spans="1:5" ht="13.5" hidden="1" thickBot="1">
      <c r="A9" s="19"/>
      <c r="B9" s="20"/>
      <c r="C9" s="31">
        <v>0.4</v>
      </c>
      <c r="D9" s="20"/>
      <c r="E9" s="20"/>
    </row>
    <row r="10" spans="1:13" ht="77.25" thickBot="1">
      <c r="A10" s="29" t="s">
        <v>21</v>
      </c>
      <c r="B10" s="28" t="s">
        <v>31</v>
      </c>
      <c r="C10" s="30" t="s">
        <v>185</v>
      </c>
      <c r="D10" s="30" t="s">
        <v>186</v>
      </c>
      <c r="E10" s="32" t="s">
        <v>24</v>
      </c>
      <c r="F10" s="24" t="s">
        <v>19</v>
      </c>
      <c r="G10" s="21" t="s">
        <v>20</v>
      </c>
      <c r="H10" s="22" t="s">
        <v>18</v>
      </c>
      <c r="J10" s="26" t="s">
        <v>14</v>
      </c>
      <c r="K10" s="26" t="s">
        <v>76</v>
      </c>
      <c r="M10" s="8"/>
    </row>
    <row r="11" spans="1:13" ht="12.75">
      <c r="A11" s="25">
        <v>1</v>
      </c>
      <c r="B11" s="25">
        <v>36000</v>
      </c>
      <c r="C11" s="25">
        <f aca="true" t="shared" si="0" ref="C11:C18">B11+(B11*$C$9)</f>
        <v>50400</v>
      </c>
      <c r="D11" s="25">
        <f aca="true" t="shared" si="1" ref="D11:D18">C11*3</f>
        <v>151200</v>
      </c>
      <c r="E11" s="25">
        <f>H11</f>
        <v>0</v>
      </c>
      <c r="F11" s="14">
        <v>0</v>
      </c>
      <c r="G11" s="14"/>
      <c r="H11" s="5">
        <f aca="true" t="shared" si="2" ref="H11:H18">SUM(F11:G11)</f>
        <v>0</v>
      </c>
      <c r="J11" s="5">
        <v>0</v>
      </c>
      <c r="K11" s="5">
        <f aca="true" t="shared" si="3" ref="K11:K18">D11*J11</f>
        <v>0</v>
      </c>
      <c r="M11" s="8"/>
    </row>
    <row r="12" spans="1:13" ht="12.75">
      <c r="A12" s="14">
        <v>2</v>
      </c>
      <c r="B12" s="14">
        <v>36000</v>
      </c>
      <c r="C12" s="25">
        <f t="shared" si="0"/>
        <v>50400</v>
      </c>
      <c r="D12" s="25">
        <f t="shared" si="1"/>
        <v>151200</v>
      </c>
      <c r="E12" s="14">
        <v>2</v>
      </c>
      <c r="F12" s="14">
        <v>4</v>
      </c>
      <c r="G12" s="14"/>
      <c r="H12" s="5">
        <f t="shared" si="2"/>
        <v>4</v>
      </c>
      <c r="J12" s="5">
        <v>2</v>
      </c>
      <c r="K12" s="5">
        <f t="shared" si="3"/>
        <v>302400</v>
      </c>
      <c r="M12" s="8"/>
    </row>
    <row r="13" spans="1:13" ht="12.75">
      <c r="A13" s="14">
        <v>3</v>
      </c>
      <c r="B13" s="14">
        <v>36000</v>
      </c>
      <c r="C13" s="25">
        <f t="shared" si="0"/>
        <v>50400</v>
      </c>
      <c r="D13" s="25">
        <f t="shared" si="1"/>
        <v>151200</v>
      </c>
      <c r="E13" s="14">
        <v>337</v>
      </c>
      <c r="F13" s="14">
        <v>335</v>
      </c>
      <c r="G13" s="14"/>
      <c r="H13" s="5">
        <f t="shared" si="2"/>
        <v>335</v>
      </c>
      <c r="J13" s="5">
        <v>335</v>
      </c>
      <c r="K13" s="5">
        <f t="shared" si="3"/>
        <v>50652000</v>
      </c>
      <c r="M13" s="8"/>
    </row>
    <row r="14" spans="1:13" ht="12.75">
      <c r="A14" s="14">
        <v>4</v>
      </c>
      <c r="B14" s="14">
        <v>40000</v>
      </c>
      <c r="C14" s="25">
        <f t="shared" si="0"/>
        <v>56000</v>
      </c>
      <c r="D14" s="25">
        <f t="shared" si="1"/>
        <v>168000</v>
      </c>
      <c r="E14" s="14">
        <f>H14</f>
        <v>277</v>
      </c>
      <c r="F14" s="14">
        <v>277</v>
      </c>
      <c r="G14" s="14"/>
      <c r="H14" s="5">
        <f t="shared" si="2"/>
        <v>277</v>
      </c>
      <c r="J14" s="5">
        <v>277</v>
      </c>
      <c r="K14" s="5">
        <f t="shared" si="3"/>
        <v>46536000</v>
      </c>
      <c r="M14" s="8"/>
    </row>
    <row r="15" spans="1:13" ht="12.75">
      <c r="A15" s="14">
        <v>5</v>
      </c>
      <c r="B15" s="14">
        <v>40000</v>
      </c>
      <c r="C15" s="25">
        <f t="shared" si="0"/>
        <v>56000</v>
      </c>
      <c r="D15" s="25">
        <f t="shared" si="1"/>
        <v>168000</v>
      </c>
      <c r="E15" s="14">
        <f>H15</f>
        <v>661</v>
      </c>
      <c r="F15" s="14">
        <v>644</v>
      </c>
      <c r="G15" s="14">
        <v>17</v>
      </c>
      <c r="H15" s="5">
        <f t="shared" si="2"/>
        <v>661</v>
      </c>
      <c r="J15" s="5">
        <v>667</v>
      </c>
      <c r="K15" s="5">
        <f t="shared" si="3"/>
        <v>112056000</v>
      </c>
      <c r="M15" s="8"/>
    </row>
    <row r="16" spans="1:13" ht="12.75">
      <c r="A16" s="14">
        <v>6</v>
      </c>
      <c r="B16" s="14">
        <v>42000</v>
      </c>
      <c r="C16" s="25">
        <f t="shared" si="0"/>
        <v>58800</v>
      </c>
      <c r="D16" s="25">
        <f t="shared" si="1"/>
        <v>176400</v>
      </c>
      <c r="E16" s="14">
        <f>H16</f>
        <v>120</v>
      </c>
      <c r="F16" s="14">
        <v>119</v>
      </c>
      <c r="G16" s="14">
        <v>1</v>
      </c>
      <c r="H16" s="5">
        <f t="shared" si="2"/>
        <v>120</v>
      </c>
      <c r="J16" s="5">
        <v>119</v>
      </c>
      <c r="K16" s="5">
        <f t="shared" si="3"/>
        <v>20991600</v>
      </c>
      <c r="M16" s="8"/>
    </row>
    <row r="17" spans="1:13" ht="12.75">
      <c r="A17" s="14">
        <v>7</v>
      </c>
      <c r="B17" s="14">
        <v>54000</v>
      </c>
      <c r="C17" s="25">
        <f t="shared" si="0"/>
        <v>75600</v>
      </c>
      <c r="D17" s="25">
        <f t="shared" si="1"/>
        <v>226800</v>
      </c>
      <c r="E17" s="14">
        <f>H17</f>
        <v>753</v>
      </c>
      <c r="F17" s="14">
        <v>736</v>
      </c>
      <c r="G17" s="14">
        <v>17</v>
      </c>
      <c r="H17" s="5">
        <f t="shared" si="2"/>
        <v>753</v>
      </c>
      <c r="J17" s="5">
        <v>736</v>
      </c>
      <c r="K17" s="5">
        <f t="shared" si="3"/>
        <v>166924800</v>
      </c>
      <c r="M17" s="8"/>
    </row>
    <row r="18" spans="1:13" ht="12.75">
      <c r="A18" s="14">
        <v>8</v>
      </c>
      <c r="B18" s="14">
        <v>54000</v>
      </c>
      <c r="C18" s="25">
        <f t="shared" si="0"/>
        <v>75600</v>
      </c>
      <c r="D18" s="25">
        <f t="shared" si="1"/>
        <v>226800</v>
      </c>
      <c r="E18" s="14">
        <f>H18</f>
        <v>224</v>
      </c>
      <c r="F18" s="14">
        <v>223</v>
      </c>
      <c r="G18" s="14">
        <v>1</v>
      </c>
      <c r="H18" s="5">
        <f t="shared" si="2"/>
        <v>224</v>
      </c>
      <c r="J18" s="5">
        <v>224</v>
      </c>
      <c r="K18" s="5">
        <f t="shared" si="3"/>
        <v>50803200</v>
      </c>
      <c r="M18" s="8"/>
    </row>
    <row r="19" spans="1:11" ht="12.75">
      <c r="A19" s="13"/>
      <c r="B19" s="13"/>
      <c r="C19" s="13"/>
      <c r="D19" s="13"/>
      <c r="E19" s="13"/>
      <c r="F19" s="13"/>
      <c r="G19" s="13"/>
      <c r="H19" s="8"/>
      <c r="J19" s="16" t="s">
        <v>18</v>
      </c>
      <c r="K19" s="110">
        <f>SUM(K11:K18)</f>
        <v>448266000</v>
      </c>
    </row>
    <row r="20" spans="1:11" ht="12.75">
      <c r="A20" s="13"/>
      <c r="B20" s="13"/>
      <c r="C20" s="13"/>
      <c r="D20" s="13"/>
      <c r="E20" s="13"/>
      <c r="F20" s="13"/>
      <c r="G20" s="13"/>
      <c r="H20" s="8"/>
      <c r="J20" s="8"/>
      <c r="K20" s="8"/>
    </row>
    <row r="21" spans="2:5" ht="12.75" hidden="1">
      <c r="B21" s="31">
        <v>0.38</v>
      </c>
      <c r="E21" s="1"/>
    </row>
    <row r="22" spans="1:11" ht="13.5" thickBot="1">
      <c r="A22" s="173" t="s">
        <v>207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</row>
    <row r="23" spans="1:11" ht="76.5">
      <c r="A23" s="111" t="s">
        <v>21</v>
      </c>
      <c r="B23" s="37" t="s">
        <v>31</v>
      </c>
      <c r="C23" s="114" t="s">
        <v>208</v>
      </c>
      <c r="D23" s="26" t="s">
        <v>209</v>
      </c>
      <c r="E23" s="36" t="s">
        <v>24</v>
      </c>
      <c r="F23" s="24" t="s">
        <v>19</v>
      </c>
      <c r="G23" s="21" t="s">
        <v>20</v>
      </c>
      <c r="H23" s="22" t="s">
        <v>18</v>
      </c>
      <c r="J23" s="26" t="s">
        <v>14</v>
      </c>
      <c r="K23" s="26" t="s">
        <v>76</v>
      </c>
    </row>
    <row r="24" spans="1:11" ht="12.75">
      <c r="A24" s="112">
        <v>5</v>
      </c>
      <c r="B24" s="14">
        <v>40000</v>
      </c>
      <c r="C24" s="25">
        <f>B24+(B24*$B$21)</f>
        <v>55200</v>
      </c>
      <c r="D24" s="14">
        <f>C24*3</f>
        <v>165600</v>
      </c>
      <c r="E24" s="14">
        <f>H24</f>
        <v>224</v>
      </c>
      <c r="F24" s="14">
        <v>223</v>
      </c>
      <c r="G24" s="14">
        <v>1</v>
      </c>
      <c r="H24" s="5">
        <f>SUM(F24:G24)</f>
        <v>224</v>
      </c>
      <c r="I24" s="113"/>
      <c r="J24" s="5">
        <v>300</v>
      </c>
      <c r="K24" s="5">
        <f>D24*J24</f>
        <v>49680000</v>
      </c>
    </row>
    <row r="25" spans="1:11" ht="12.75">
      <c r="A25" s="13"/>
      <c r="B25" s="13"/>
      <c r="C25" s="13"/>
      <c r="D25" s="13"/>
      <c r="E25" s="13"/>
      <c r="F25" s="23"/>
      <c r="G25" s="23"/>
      <c r="J25" s="16" t="s">
        <v>18</v>
      </c>
      <c r="K25" s="110">
        <f>SUM(K24)</f>
        <v>49680000</v>
      </c>
    </row>
    <row r="26" spans="1:11" ht="13.5" thickBot="1">
      <c r="A26" s="13"/>
      <c r="B26" s="13"/>
      <c r="C26" s="13"/>
      <c r="D26" s="13"/>
      <c r="E26" s="13"/>
      <c r="F26" s="23"/>
      <c r="G26" s="23"/>
      <c r="J26" s="8"/>
      <c r="K26" s="8"/>
    </row>
    <row r="27" spans="2:11" ht="13.5" thickBot="1">
      <c r="B27" s="1"/>
      <c r="C27" s="13"/>
      <c r="D27" s="13"/>
      <c r="E27" s="13"/>
      <c r="F27" s="23"/>
      <c r="G27" s="23"/>
      <c r="J27" s="115" t="s">
        <v>153</v>
      </c>
      <c r="K27" s="116">
        <f>K19+K25</f>
        <v>497946000</v>
      </c>
    </row>
    <row r="28" spans="1:5" ht="12.75">
      <c r="A28" s="8"/>
      <c r="B28" s="13"/>
      <c r="C28" s="8"/>
      <c r="D28" s="8"/>
      <c r="E28" s="13"/>
    </row>
    <row r="29" spans="1:5" ht="12.75">
      <c r="A29" s="41" t="s">
        <v>43</v>
      </c>
      <c r="B29" s="13"/>
      <c r="C29" s="8"/>
      <c r="D29" s="8"/>
      <c r="E29" s="13"/>
    </row>
    <row r="30" spans="1:11" ht="20.25">
      <c r="A30" s="177" t="s">
        <v>17</v>
      </c>
      <c r="B30" s="177"/>
      <c r="C30" s="177"/>
      <c r="D30" s="177"/>
      <c r="E30" s="177"/>
      <c r="F30" s="177"/>
      <c r="G30" s="177"/>
      <c r="H30" s="177"/>
      <c r="I30" s="177"/>
      <c r="J30" s="177"/>
      <c r="K30" s="177"/>
    </row>
    <row r="31" spans="1:11" ht="18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</row>
    <row r="32" spans="1:11" ht="15">
      <c r="A32" s="175" t="s">
        <v>16</v>
      </c>
      <c r="B32" s="175"/>
      <c r="C32" s="175"/>
      <c r="D32" s="175"/>
      <c r="E32" s="175"/>
      <c r="F32" s="175"/>
      <c r="G32" s="175"/>
      <c r="H32" s="175"/>
      <c r="I32" s="175"/>
      <c r="J32" s="175"/>
      <c r="K32" s="175"/>
    </row>
    <row r="33" spans="1:11" ht="15">
      <c r="A33" s="176" t="s">
        <v>25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</row>
    <row r="34" spans="1:11" ht="15">
      <c r="A34" s="175" t="s">
        <v>27</v>
      </c>
      <c r="B34" s="175"/>
      <c r="C34" s="175"/>
      <c r="D34" s="175"/>
      <c r="E34" s="175"/>
      <c r="F34" s="175"/>
      <c r="G34" s="175"/>
      <c r="H34" s="175"/>
      <c r="I34" s="175"/>
      <c r="J34" s="175"/>
      <c r="K34" s="175"/>
    </row>
    <row r="35" spans="1:11" ht="1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</row>
    <row r="36" spans="1:11" ht="13.5" thickBot="1">
      <c r="A36" s="174" t="s">
        <v>206</v>
      </c>
      <c r="B36" s="174"/>
      <c r="C36" s="174"/>
      <c r="D36" s="174"/>
      <c r="E36" s="174"/>
      <c r="F36" s="174"/>
      <c r="G36" s="174"/>
      <c r="H36" s="174"/>
      <c r="I36" s="174"/>
      <c r="J36" s="174"/>
      <c r="K36" s="174"/>
    </row>
    <row r="37" spans="1:11" ht="77.25" thickBot="1">
      <c r="A37" s="29" t="s">
        <v>21</v>
      </c>
      <c r="B37" s="28" t="s">
        <v>30</v>
      </c>
      <c r="C37" s="30" t="s">
        <v>185</v>
      </c>
      <c r="D37" s="30" t="s">
        <v>187</v>
      </c>
      <c r="H37" s="1">
        <f>SUM(E11:E18)</f>
        <v>2374</v>
      </c>
      <c r="J37" s="26" t="s">
        <v>14</v>
      </c>
      <c r="K37" s="26" t="s">
        <v>64</v>
      </c>
    </row>
    <row r="38" spans="1:11" ht="12.75">
      <c r="A38" s="25">
        <v>1</v>
      </c>
      <c r="B38" s="25">
        <v>36000</v>
      </c>
      <c r="C38" s="25">
        <f aca="true" t="shared" si="4" ref="C38:C45">B38+(B38*$C$9)</f>
        <v>50400</v>
      </c>
      <c r="D38" s="25">
        <f>C38*13</f>
        <v>655200</v>
      </c>
      <c r="J38" s="5">
        <v>0</v>
      </c>
      <c r="K38" s="5">
        <f>D38*J38</f>
        <v>0</v>
      </c>
    </row>
    <row r="39" spans="1:11" ht="12.75">
      <c r="A39" s="14">
        <v>2</v>
      </c>
      <c r="B39" s="14">
        <v>36000</v>
      </c>
      <c r="C39" s="25">
        <f t="shared" si="4"/>
        <v>50400</v>
      </c>
      <c r="D39" s="25">
        <f aca="true" t="shared" si="5" ref="D39:D45">C39*13</f>
        <v>655200</v>
      </c>
      <c r="J39" s="5">
        <v>2</v>
      </c>
      <c r="K39" s="5">
        <f aca="true" t="shared" si="6" ref="K39:K45">D39*J39</f>
        <v>1310400</v>
      </c>
    </row>
    <row r="40" spans="1:11" ht="12.75">
      <c r="A40" s="14">
        <v>3</v>
      </c>
      <c r="B40" s="14">
        <v>36000</v>
      </c>
      <c r="C40" s="25">
        <f t="shared" si="4"/>
        <v>50400</v>
      </c>
      <c r="D40" s="25">
        <f t="shared" si="5"/>
        <v>655200</v>
      </c>
      <c r="J40" s="5">
        <v>335</v>
      </c>
      <c r="K40" s="5">
        <f t="shared" si="6"/>
        <v>219492000</v>
      </c>
    </row>
    <row r="41" spans="1:11" ht="12.75">
      <c r="A41" s="14">
        <v>4</v>
      </c>
      <c r="B41" s="14">
        <v>40000</v>
      </c>
      <c r="C41" s="25">
        <f t="shared" si="4"/>
        <v>56000</v>
      </c>
      <c r="D41" s="25">
        <f t="shared" si="5"/>
        <v>728000</v>
      </c>
      <c r="J41" s="5">
        <v>277</v>
      </c>
      <c r="K41" s="5">
        <f t="shared" si="6"/>
        <v>201656000</v>
      </c>
    </row>
    <row r="42" spans="1:11" ht="12.75">
      <c r="A42" s="14">
        <v>5</v>
      </c>
      <c r="B42" s="14">
        <v>40000</v>
      </c>
      <c r="C42" s="25">
        <f t="shared" si="4"/>
        <v>56000</v>
      </c>
      <c r="D42" s="25">
        <f t="shared" si="5"/>
        <v>728000</v>
      </c>
      <c r="J42" s="5">
        <v>667</v>
      </c>
      <c r="K42" s="5">
        <f t="shared" si="6"/>
        <v>485576000</v>
      </c>
    </row>
    <row r="43" spans="1:11" ht="12.75">
      <c r="A43" s="14">
        <v>6</v>
      </c>
      <c r="B43" s="14">
        <v>42000</v>
      </c>
      <c r="C43" s="25">
        <f t="shared" si="4"/>
        <v>58800</v>
      </c>
      <c r="D43" s="25">
        <f t="shared" si="5"/>
        <v>764400</v>
      </c>
      <c r="J43" s="5">
        <v>119</v>
      </c>
      <c r="K43" s="5">
        <f t="shared" si="6"/>
        <v>90963600</v>
      </c>
    </row>
    <row r="44" spans="1:11" ht="12.75">
      <c r="A44" s="14">
        <v>7</v>
      </c>
      <c r="B44" s="14">
        <v>54000</v>
      </c>
      <c r="C44" s="25">
        <f t="shared" si="4"/>
        <v>75600</v>
      </c>
      <c r="D44" s="25">
        <f t="shared" si="5"/>
        <v>982800</v>
      </c>
      <c r="J44" s="5">
        <v>736</v>
      </c>
      <c r="K44" s="5">
        <f t="shared" si="6"/>
        <v>723340800</v>
      </c>
    </row>
    <row r="45" spans="1:11" ht="12.75">
      <c r="A45" s="14">
        <v>8</v>
      </c>
      <c r="B45" s="14">
        <v>54000</v>
      </c>
      <c r="C45" s="25">
        <f t="shared" si="4"/>
        <v>75600</v>
      </c>
      <c r="D45" s="25">
        <f t="shared" si="5"/>
        <v>982800</v>
      </c>
      <c r="J45" s="5">
        <v>224</v>
      </c>
      <c r="K45" s="5">
        <f t="shared" si="6"/>
        <v>220147200</v>
      </c>
    </row>
    <row r="46" spans="1:11" ht="12.75">
      <c r="A46" s="13"/>
      <c r="B46" s="13"/>
      <c r="C46" s="13"/>
      <c r="D46" s="13"/>
      <c r="J46" s="16" t="s">
        <v>18</v>
      </c>
      <c r="K46" s="110">
        <f>SUM(K38:K45)</f>
        <v>1942486000</v>
      </c>
    </row>
    <row r="47" spans="1:4" ht="12.75">
      <c r="A47" s="13"/>
      <c r="B47" s="13"/>
      <c r="C47" s="13"/>
      <c r="D47" s="13"/>
    </row>
    <row r="48" spans="1:11" ht="13.5" thickBot="1">
      <c r="A48" s="173" t="s">
        <v>207</v>
      </c>
      <c r="B48" s="173"/>
      <c r="C48" s="173"/>
      <c r="D48" s="173"/>
      <c r="E48" s="173"/>
      <c r="F48" s="173"/>
      <c r="G48" s="173"/>
      <c r="H48" s="173"/>
      <c r="I48" s="173"/>
      <c r="J48" s="173"/>
      <c r="K48" s="173"/>
    </row>
    <row r="49" spans="1:11" ht="76.5">
      <c r="A49" s="111" t="s">
        <v>21</v>
      </c>
      <c r="B49" s="37" t="s">
        <v>31</v>
      </c>
      <c r="C49" s="26" t="s">
        <v>208</v>
      </c>
      <c r="D49" s="26" t="s">
        <v>211</v>
      </c>
      <c r="E49" s="36" t="s">
        <v>24</v>
      </c>
      <c r="F49" s="24" t="s">
        <v>19</v>
      </c>
      <c r="G49" s="21" t="s">
        <v>20</v>
      </c>
      <c r="H49" s="22" t="s">
        <v>18</v>
      </c>
      <c r="J49" s="26" t="s">
        <v>14</v>
      </c>
      <c r="K49" s="26" t="s">
        <v>76</v>
      </c>
    </row>
    <row r="50" spans="1:11" ht="12.75">
      <c r="A50" s="112">
        <v>5</v>
      </c>
      <c r="B50" s="14">
        <v>40000</v>
      </c>
      <c r="C50" s="14">
        <f>B50+(B50*$B$21)</f>
        <v>55200</v>
      </c>
      <c r="D50" s="14">
        <f>C50*13</f>
        <v>717600</v>
      </c>
      <c r="E50" s="14">
        <f>H50</f>
        <v>224</v>
      </c>
      <c r="F50" s="14">
        <v>223</v>
      </c>
      <c r="G50" s="14">
        <v>1</v>
      </c>
      <c r="H50" s="5">
        <f>SUM(F50:G50)</f>
        <v>224</v>
      </c>
      <c r="I50" s="113"/>
      <c r="J50" s="5">
        <v>300</v>
      </c>
      <c r="K50" s="5">
        <f>D50*J50</f>
        <v>215280000</v>
      </c>
    </row>
    <row r="51" spans="1:11" ht="12.75">
      <c r="A51" s="13"/>
      <c r="B51" s="13"/>
      <c r="C51" s="13"/>
      <c r="D51" s="13"/>
      <c r="E51" s="13"/>
      <c r="F51" s="23"/>
      <c r="G51" s="23"/>
      <c r="J51" s="16" t="s">
        <v>18</v>
      </c>
      <c r="K51" s="110">
        <f>SUM(K50)</f>
        <v>215280000</v>
      </c>
    </row>
    <row r="52" spans="1:4" ht="13.5" thickBot="1">
      <c r="A52" s="13"/>
      <c r="B52" s="13"/>
      <c r="C52" s="13"/>
      <c r="D52" s="13"/>
    </row>
    <row r="53" spans="1:11" ht="13.5" thickBot="1">
      <c r="A53" s="13"/>
      <c r="B53" s="13"/>
      <c r="C53" s="13"/>
      <c r="D53" s="13"/>
      <c r="J53" s="117" t="s">
        <v>153</v>
      </c>
      <c r="K53" s="118">
        <f>K46+K51</f>
        <v>2157766000</v>
      </c>
    </row>
    <row r="54" spans="1:4" ht="12.75">
      <c r="A54" s="13"/>
      <c r="B54" s="13"/>
      <c r="C54" s="13"/>
      <c r="D54" s="13"/>
    </row>
    <row r="55" spans="1:4" ht="12.75">
      <c r="A55" s="13"/>
      <c r="B55" s="13"/>
      <c r="C55" s="13"/>
      <c r="D55" s="13"/>
    </row>
    <row r="56" spans="1:4" ht="12.75">
      <c r="A56" s="41" t="s">
        <v>45</v>
      </c>
      <c r="B56" s="13"/>
      <c r="C56" s="13"/>
      <c r="D56" s="13"/>
    </row>
    <row r="57" spans="1:11" ht="20.25">
      <c r="A57" s="177" t="s">
        <v>17</v>
      </c>
      <c r="B57" s="177"/>
      <c r="C57" s="177"/>
      <c r="D57" s="177"/>
      <c r="E57" s="177"/>
      <c r="F57" s="177"/>
      <c r="G57" s="177"/>
      <c r="H57" s="177"/>
      <c r="I57" s="177"/>
      <c r="J57" s="177"/>
      <c r="K57" s="177"/>
    </row>
    <row r="58" spans="1:11" ht="15">
      <c r="A58" s="175" t="s">
        <v>16</v>
      </c>
      <c r="B58" s="175"/>
      <c r="C58" s="175"/>
      <c r="D58" s="175"/>
      <c r="E58" s="175"/>
      <c r="F58" s="175"/>
      <c r="G58" s="175"/>
      <c r="H58" s="175"/>
      <c r="I58" s="175"/>
      <c r="J58" s="175"/>
      <c r="K58" s="175"/>
    </row>
    <row r="59" spans="1:11" ht="15">
      <c r="A59" s="176" t="s">
        <v>29</v>
      </c>
      <c r="B59" s="176"/>
      <c r="C59" s="176"/>
      <c r="D59" s="176"/>
      <c r="E59" s="176"/>
      <c r="F59" s="176"/>
      <c r="G59" s="176"/>
      <c r="H59" s="176"/>
      <c r="I59" s="176"/>
      <c r="J59" s="176"/>
      <c r="K59" s="176"/>
    </row>
    <row r="60" spans="1:11" ht="15">
      <c r="A60" s="175" t="s">
        <v>28</v>
      </c>
      <c r="B60" s="175"/>
      <c r="C60" s="175"/>
      <c r="D60" s="175"/>
      <c r="E60" s="175"/>
      <c r="F60" s="175"/>
      <c r="G60" s="175"/>
      <c r="H60" s="175"/>
      <c r="I60" s="175"/>
      <c r="J60" s="175"/>
      <c r="K60" s="175"/>
    </row>
    <row r="61" spans="1:11" ht="1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</row>
    <row r="62" spans="1:11" ht="13.5" thickBot="1">
      <c r="A62" s="174" t="s">
        <v>206</v>
      </c>
      <c r="B62" s="174"/>
      <c r="C62" s="174"/>
      <c r="D62" s="174"/>
      <c r="E62" s="174"/>
      <c r="F62" s="174"/>
      <c r="G62" s="174"/>
      <c r="H62" s="174"/>
      <c r="I62" s="174"/>
      <c r="J62" s="174"/>
      <c r="K62" s="174"/>
    </row>
    <row r="63" spans="1:11" ht="77.25" thickBot="1">
      <c r="A63" s="29" t="s">
        <v>21</v>
      </c>
      <c r="B63" s="28" t="s">
        <v>33</v>
      </c>
      <c r="C63" s="30" t="s">
        <v>185</v>
      </c>
      <c r="D63" s="30" t="s">
        <v>188</v>
      </c>
      <c r="J63" s="26" t="s">
        <v>14</v>
      </c>
      <c r="K63" s="26" t="s">
        <v>64</v>
      </c>
    </row>
    <row r="64" spans="1:11" ht="12.75">
      <c r="A64" s="25">
        <v>1</v>
      </c>
      <c r="B64" s="25">
        <v>30000</v>
      </c>
      <c r="C64" s="25">
        <f aca="true" t="shared" si="7" ref="C64:C71">B64+(B64*$C$9)</f>
        <v>42000</v>
      </c>
      <c r="D64" s="25">
        <f>C64*7</f>
        <v>294000</v>
      </c>
      <c r="J64" s="5">
        <v>0</v>
      </c>
      <c r="K64" s="5">
        <f>D64*J64</f>
        <v>0</v>
      </c>
    </row>
    <row r="65" spans="1:11" ht="12.75">
      <c r="A65" s="14">
        <v>2</v>
      </c>
      <c r="B65" s="14">
        <v>30000</v>
      </c>
      <c r="C65" s="25">
        <f t="shared" si="7"/>
        <v>42000</v>
      </c>
      <c r="D65" s="25">
        <f aca="true" t="shared" si="8" ref="D65:D71">C65*7</f>
        <v>294000</v>
      </c>
      <c r="J65" s="5">
        <v>2</v>
      </c>
      <c r="K65" s="5">
        <f>D65*J65</f>
        <v>588000</v>
      </c>
    </row>
    <row r="66" spans="1:11" ht="12.75">
      <c r="A66" s="14">
        <v>3</v>
      </c>
      <c r="B66" s="14">
        <v>30000</v>
      </c>
      <c r="C66" s="25">
        <f t="shared" si="7"/>
        <v>42000</v>
      </c>
      <c r="D66" s="25">
        <f t="shared" si="8"/>
        <v>294000</v>
      </c>
      <c r="J66" s="5">
        <v>335</v>
      </c>
      <c r="K66" s="5">
        <f aca="true" t="shared" si="9" ref="K66:K71">D66*J66</f>
        <v>98490000</v>
      </c>
    </row>
    <row r="67" spans="1:11" ht="12.75">
      <c r="A67" s="14">
        <v>4</v>
      </c>
      <c r="B67" s="14">
        <v>33000</v>
      </c>
      <c r="C67" s="25">
        <f t="shared" si="7"/>
        <v>46200</v>
      </c>
      <c r="D67" s="25">
        <f t="shared" si="8"/>
        <v>323400</v>
      </c>
      <c r="J67" s="5">
        <v>277</v>
      </c>
      <c r="K67" s="5">
        <f t="shared" si="9"/>
        <v>89581800</v>
      </c>
    </row>
    <row r="68" spans="1:11" ht="12.75">
      <c r="A68" s="14">
        <v>5</v>
      </c>
      <c r="B68" s="14">
        <v>33000</v>
      </c>
      <c r="C68" s="25">
        <f t="shared" si="7"/>
        <v>46200</v>
      </c>
      <c r="D68" s="25">
        <f t="shared" si="8"/>
        <v>323400</v>
      </c>
      <c r="J68" s="5">
        <v>667</v>
      </c>
      <c r="K68" s="5">
        <f t="shared" si="9"/>
        <v>215707800</v>
      </c>
    </row>
    <row r="69" spans="1:11" ht="12.75">
      <c r="A69" s="14">
        <v>6</v>
      </c>
      <c r="B69" s="14">
        <v>35000</v>
      </c>
      <c r="C69" s="25">
        <f t="shared" si="7"/>
        <v>49000</v>
      </c>
      <c r="D69" s="25">
        <f t="shared" si="8"/>
        <v>343000</v>
      </c>
      <c r="J69" s="5">
        <v>119</v>
      </c>
      <c r="K69" s="5">
        <f t="shared" si="9"/>
        <v>40817000</v>
      </c>
    </row>
    <row r="70" spans="1:11" ht="12.75">
      <c r="A70" s="14">
        <v>7</v>
      </c>
      <c r="B70" s="14">
        <v>45000</v>
      </c>
      <c r="C70" s="25">
        <f t="shared" si="7"/>
        <v>63000</v>
      </c>
      <c r="D70" s="25">
        <f t="shared" si="8"/>
        <v>441000</v>
      </c>
      <c r="J70" s="5">
        <v>736</v>
      </c>
      <c r="K70" s="5">
        <f t="shared" si="9"/>
        <v>324576000</v>
      </c>
    </row>
    <row r="71" spans="1:11" ht="12.75">
      <c r="A71" s="14">
        <v>8</v>
      </c>
      <c r="B71" s="14">
        <v>45000</v>
      </c>
      <c r="C71" s="25">
        <f t="shared" si="7"/>
        <v>63000</v>
      </c>
      <c r="D71" s="25">
        <f t="shared" si="8"/>
        <v>441000</v>
      </c>
      <c r="J71" s="5">
        <v>224</v>
      </c>
      <c r="K71" s="5">
        <f t="shared" si="9"/>
        <v>98784000</v>
      </c>
    </row>
    <row r="72" spans="1:11" ht="12.75">
      <c r="A72" s="13"/>
      <c r="B72" s="13"/>
      <c r="C72" s="13"/>
      <c r="D72" s="13"/>
      <c r="J72" s="16" t="s">
        <v>18</v>
      </c>
      <c r="K72" s="110">
        <f>SUM(K64:K71)</f>
        <v>868544600</v>
      </c>
    </row>
    <row r="74" spans="1:11" ht="13.5" thickBot="1">
      <c r="A74" s="173" t="s">
        <v>207</v>
      </c>
      <c r="B74" s="173"/>
      <c r="C74" s="173"/>
      <c r="D74" s="173"/>
      <c r="E74" s="173"/>
      <c r="F74" s="173"/>
      <c r="G74" s="173"/>
      <c r="H74" s="173"/>
      <c r="I74" s="173"/>
      <c r="J74" s="173"/>
      <c r="K74" s="173"/>
    </row>
    <row r="75" spans="1:11" ht="76.5">
      <c r="A75" s="111" t="s">
        <v>21</v>
      </c>
      <c r="B75" s="37" t="s">
        <v>31</v>
      </c>
      <c r="C75" s="26" t="s">
        <v>208</v>
      </c>
      <c r="D75" s="26" t="s">
        <v>211</v>
      </c>
      <c r="E75" s="36" t="s">
        <v>24</v>
      </c>
      <c r="F75" s="24" t="s">
        <v>19</v>
      </c>
      <c r="G75" s="21" t="s">
        <v>20</v>
      </c>
      <c r="H75" s="22" t="s">
        <v>18</v>
      </c>
      <c r="J75" s="26" t="s">
        <v>14</v>
      </c>
      <c r="K75" s="26" t="s">
        <v>76</v>
      </c>
    </row>
    <row r="76" spans="1:11" ht="12.75">
      <c r="A76" s="112">
        <v>5</v>
      </c>
      <c r="B76" s="14">
        <v>33000</v>
      </c>
      <c r="C76" s="14">
        <f>B76+(B76*$B$21)</f>
        <v>45540</v>
      </c>
      <c r="D76" s="14">
        <f>C76*13</f>
        <v>592020</v>
      </c>
      <c r="E76" s="14">
        <f>H76</f>
        <v>224</v>
      </c>
      <c r="F76" s="14">
        <v>223</v>
      </c>
      <c r="G76" s="14">
        <v>1</v>
      </c>
      <c r="H76" s="5">
        <f>SUM(F76:G76)</f>
        <v>224</v>
      </c>
      <c r="I76" s="113"/>
      <c r="J76" s="5">
        <v>300</v>
      </c>
      <c r="K76" s="5">
        <f>D76*J76</f>
        <v>177606000</v>
      </c>
    </row>
    <row r="77" spans="1:11" ht="12.75">
      <c r="A77" s="13"/>
      <c r="B77" s="13"/>
      <c r="C77" s="13"/>
      <c r="D77" s="13"/>
      <c r="E77" s="13"/>
      <c r="F77" s="23"/>
      <c r="G77" s="23"/>
      <c r="J77" s="16" t="s">
        <v>18</v>
      </c>
      <c r="K77" s="110">
        <f>SUM(K76)</f>
        <v>177606000</v>
      </c>
    </row>
    <row r="78" ht="13.5" thickBot="1"/>
    <row r="79" spans="10:11" ht="13.5" thickBot="1">
      <c r="J79" s="117" t="s">
        <v>153</v>
      </c>
      <c r="K79" s="118">
        <f>K72+K77</f>
        <v>1046150600</v>
      </c>
    </row>
    <row r="82" ht="12.75">
      <c r="A82" s="41" t="s">
        <v>50</v>
      </c>
    </row>
    <row r="83" spans="1:11" ht="20.25">
      <c r="A83" s="177" t="s">
        <v>17</v>
      </c>
      <c r="B83" s="177"/>
      <c r="C83" s="177"/>
      <c r="D83" s="177"/>
      <c r="E83" s="177"/>
      <c r="F83" s="177"/>
      <c r="G83" s="177"/>
      <c r="H83" s="177"/>
      <c r="I83" s="177"/>
      <c r="J83" s="177"/>
      <c r="K83" s="177"/>
    </row>
    <row r="84" spans="1:11" ht="20.25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</row>
    <row r="85" spans="1:11" ht="15">
      <c r="A85" s="175" t="s">
        <v>133</v>
      </c>
      <c r="B85" s="175"/>
      <c r="C85" s="175"/>
      <c r="D85" s="175"/>
      <c r="E85" s="175"/>
      <c r="F85" s="175"/>
      <c r="G85" s="175"/>
      <c r="H85" s="175"/>
      <c r="I85" s="175"/>
      <c r="J85" s="175"/>
      <c r="K85" s="175"/>
    </row>
    <row r="86" spans="1:11" ht="15">
      <c r="A86" s="176" t="s">
        <v>29</v>
      </c>
      <c r="B86" s="176"/>
      <c r="C86" s="176"/>
      <c r="D86" s="176"/>
      <c r="E86" s="176"/>
      <c r="F86" s="176"/>
      <c r="G86" s="176"/>
      <c r="H86" s="176"/>
      <c r="I86" s="176"/>
      <c r="J86" s="176"/>
      <c r="K86" s="176"/>
    </row>
    <row r="87" spans="1:11" ht="15">
      <c r="A87" s="175" t="s">
        <v>134</v>
      </c>
      <c r="B87" s="175"/>
      <c r="C87" s="175"/>
      <c r="D87" s="175"/>
      <c r="E87" s="175"/>
      <c r="F87" s="175"/>
      <c r="G87" s="175"/>
      <c r="H87" s="175"/>
      <c r="I87" s="175"/>
      <c r="J87" s="175"/>
      <c r="K87" s="175"/>
    </row>
    <row r="88" spans="1:11" ht="1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</row>
    <row r="89" spans="2:11" ht="13.5" thickBot="1">
      <c r="B89" s="180" t="s">
        <v>206</v>
      </c>
      <c r="C89" s="180"/>
      <c r="D89" s="180"/>
      <c r="E89" s="180"/>
      <c r="F89" s="180"/>
      <c r="G89" s="180"/>
      <c r="H89" s="180"/>
      <c r="I89" s="180"/>
      <c r="J89" s="180"/>
      <c r="K89" s="180"/>
    </row>
    <row r="90" spans="2:11" ht="51.75" thickBot="1">
      <c r="B90" s="29" t="s">
        <v>21</v>
      </c>
      <c r="C90" s="28" t="s">
        <v>141</v>
      </c>
      <c r="D90" s="30" t="s">
        <v>189</v>
      </c>
      <c r="J90" s="26" t="s">
        <v>14</v>
      </c>
      <c r="K90" s="26" t="s">
        <v>78</v>
      </c>
    </row>
    <row r="91" spans="2:11" ht="12.75">
      <c r="B91" s="25">
        <v>1</v>
      </c>
      <c r="C91" s="25">
        <v>300000</v>
      </c>
      <c r="D91" s="25">
        <f aca="true" t="shared" si="10" ref="D91:D98">C91+(C91*$C$9)</f>
        <v>420000</v>
      </c>
      <c r="J91" s="5">
        <v>0</v>
      </c>
      <c r="K91" s="5">
        <f>D91*J91</f>
        <v>0</v>
      </c>
    </row>
    <row r="92" spans="2:11" ht="12.75">
      <c r="B92" s="14">
        <v>2</v>
      </c>
      <c r="C92" s="25">
        <v>300000</v>
      </c>
      <c r="D92" s="25">
        <f t="shared" si="10"/>
        <v>420000</v>
      </c>
      <c r="J92" s="5">
        <v>2</v>
      </c>
      <c r="K92" s="5">
        <f>D92*J92</f>
        <v>840000</v>
      </c>
    </row>
    <row r="93" spans="2:11" ht="12.75">
      <c r="B93" s="14">
        <v>3</v>
      </c>
      <c r="C93" s="25">
        <v>300000</v>
      </c>
      <c r="D93" s="25">
        <f t="shared" si="10"/>
        <v>420000</v>
      </c>
      <c r="J93" s="5">
        <v>335</v>
      </c>
      <c r="K93" s="5">
        <f aca="true" t="shared" si="11" ref="K93:K98">D93*J93</f>
        <v>140700000</v>
      </c>
    </row>
    <row r="94" spans="2:11" ht="12.75">
      <c r="B94" s="14">
        <v>4</v>
      </c>
      <c r="C94" s="25">
        <v>350000</v>
      </c>
      <c r="D94" s="25">
        <f t="shared" si="10"/>
        <v>490000</v>
      </c>
      <c r="J94" s="5">
        <v>277</v>
      </c>
      <c r="K94" s="5">
        <f t="shared" si="11"/>
        <v>135730000</v>
      </c>
    </row>
    <row r="95" spans="2:11" ht="12.75">
      <c r="B95" s="14">
        <v>5</v>
      </c>
      <c r="C95" s="25">
        <v>350000</v>
      </c>
      <c r="D95" s="25">
        <f t="shared" si="10"/>
        <v>490000</v>
      </c>
      <c r="J95" s="5">
        <v>667</v>
      </c>
      <c r="K95" s="5">
        <f t="shared" si="11"/>
        <v>326830000</v>
      </c>
    </row>
    <row r="96" spans="2:11" ht="12.75">
      <c r="B96" s="14">
        <v>6</v>
      </c>
      <c r="C96" s="25">
        <v>400000</v>
      </c>
      <c r="D96" s="25">
        <f t="shared" si="10"/>
        <v>560000</v>
      </c>
      <c r="J96" s="5">
        <v>119</v>
      </c>
      <c r="K96" s="5">
        <f t="shared" si="11"/>
        <v>66640000</v>
      </c>
    </row>
    <row r="97" spans="2:11" ht="12.75">
      <c r="B97" s="14">
        <v>7</v>
      </c>
      <c r="C97" s="25">
        <v>450000</v>
      </c>
      <c r="D97" s="25">
        <f t="shared" si="10"/>
        <v>630000</v>
      </c>
      <c r="J97" s="5">
        <v>736</v>
      </c>
      <c r="K97" s="5">
        <f t="shared" si="11"/>
        <v>463680000</v>
      </c>
    </row>
    <row r="98" spans="2:11" ht="12.75">
      <c r="B98" s="14">
        <v>8</v>
      </c>
      <c r="C98" s="25">
        <v>500000</v>
      </c>
      <c r="D98" s="25">
        <f t="shared" si="10"/>
        <v>700000</v>
      </c>
      <c r="J98" s="5">
        <v>224</v>
      </c>
      <c r="K98" s="5">
        <f t="shared" si="11"/>
        <v>156800000</v>
      </c>
    </row>
    <row r="99" spans="1:11" ht="12.75">
      <c r="A99" s="13"/>
      <c r="B99" s="13"/>
      <c r="C99" s="13"/>
      <c r="D99" s="13"/>
      <c r="J99" s="16" t="s">
        <v>18</v>
      </c>
      <c r="K99" s="110">
        <f>SUM(K91:K98)</f>
        <v>1291220000</v>
      </c>
    </row>
    <row r="100" spans="1:11" ht="12.75">
      <c r="A100" s="13"/>
      <c r="B100" s="13"/>
      <c r="C100" s="13"/>
      <c r="D100" s="13"/>
      <c r="J100" s="8"/>
      <c r="K100" s="8"/>
    </row>
    <row r="101" spans="1:11" ht="12.75">
      <c r="A101" s="13"/>
      <c r="B101" s="13"/>
      <c r="C101" s="13"/>
      <c r="D101" s="13"/>
      <c r="J101" s="8"/>
      <c r="K101" s="8"/>
    </row>
    <row r="102" spans="1:11" ht="13.5" thickBot="1">
      <c r="A102" s="13"/>
      <c r="B102" s="173" t="s">
        <v>207</v>
      </c>
      <c r="C102" s="173"/>
      <c r="D102" s="173"/>
      <c r="E102" s="173"/>
      <c r="F102" s="173"/>
      <c r="G102" s="173"/>
      <c r="H102" s="173"/>
      <c r="I102" s="173"/>
      <c r="J102" s="173"/>
      <c r="K102" s="173"/>
    </row>
    <row r="103" spans="2:11" ht="51">
      <c r="B103" s="111" t="s">
        <v>21</v>
      </c>
      <c r="C103" s="37" t="s">
        <v>141</v>
      </c>
      <c r="D103" s="26" t="s">
        <v>249</v>
      </c>
      <c r="J103" s="26" t="s">
        <v>14</v>
      </c>
      <c r="K103" s="26" t="s">
        <v>78</v>
      </c>
    </row>
    <row r="104" spans="2:11" ht="12.75">
      <c r="B104" s="14">
        <v>5</v>
      </c>
      <c r="C104" s="5">
        <v>350000</v>
      </c>
      <c r="D104" s="5">
        <f>C104*1.38</f>
        <v>482999.99999999994</v>
      </c>
      <c r="E104" s="14"/>
      <c r="F104" s="5"/>
      <c r="G104" s="5"/>
      <c r="H104" s="5"/>
      <c r="I104" s="5"/>
      <c r="J104" s="5">
        <v>250</v>
      </c>
      <c r="K104" s="5">
        <f>D104*J104</f>
        <v>120749999.99999999</v>
      </c>
    </row>
    <row r="105" spans="10:11" ht="12.75">
      <c r="J105" s="120" t="s">
        <v>18</v>
      </c>
      <c r="K105" s="121">
        <f>SUM(K104:K104)</f>
        <v>120749999.99999999</v>
      </c>
    </row>
    <row r="106" ht="13.5" thickBot="1"/>
    <row r="107" spans="10:11" ht="13.5" thickBot="1">
      <c r="J107" s="117" t="s">
        <v>153</v>
      </c>
      <c r="K107" s="118">
        <f>K99+K105</f>
        <v>1411970000</v>
      </c>
    </row>
    <row r="110" ht="12.75">
      <c r="A110" s="41" t="s">
        <v>55</v>
      </c>
    </row>
    <row r="111" spans="1:11" ht="20.25">
      <c r="A111" s="177" t="s">
        <v>17</v>
      </c>
      <c r="B111" s="177"/>
      <c r="C111" s="177"/>
      <c r="D111" s="177"/>
      <c r="E111" s="177"/>
      <c r="F111" s="177"/>
      <c r="G111" s="177"/>
      <c r="H111" s="177"/>
      <c r="I111" s="177"/>
      <c r="J111" s="177"/>
      <c r="K111" s="177"/>
    </row>
    <row r="112" spans="1:11" ht="18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</row>
    <row r="113" spans="1:11" ht="15">
      <c r="A113" s="175" t="s">
        <v>16</v>
      </c>
      <c r="B113" s="175"/>
      <c r="C113" s="175"/>
      <c r="D113" s="175"/>
      <c r="E113" s="175"/>
      <c r="F113" s="175"/>
      <c r="G113" s="175"/>
      <c r="H113" s="175"/>
      <c r="I113" s="175"/>
      <c r="J113" s="175"/>
      <c r="K113" s="175"/>
    </row>
    <row r="114" spans="1:11" ht="15">
      <c r="A114" s="176" t="s">
        <v>35</v>
      </c>
      <c r="B114" s="176"/>
      <c r="C114" s="176"/>
      <c r="D114" s="176"/>
      <c r="E114" s="176"/>
      <c r="F114" s="176"/>
      <c r="G114" s="176"/>
      <c r="H114" s="176"/>
      <c r="I114" s="176"/>
      <c r="J114" s="176"/>
      <c r="K114" s="176"/>
    </row>
    <row r="115" spans="1:11" ht="15">
      <c r="A115" s="175" t="s">
        <v>32</v>
      </c>
      <c r="B115" s="175"/>
      <c r="C115" s="175"/>
      <c r="D115" s="175"/>
      <c r="E115" s="175"/>
      <c r="F115" s="175"/>
      <c r="G115" s="175"/>
      <c r="H115" s="175"/>
      <c r="I115" s="175"/>
      <c r="J115" s="175"/>
      <c r="K115" s="175"/>
    </row>
    <row r="116" spans="1:11" ht="15">
      <c r="A116" s="175" t="s">
        <v>58</v>
      </c>
      <c r="B116" s="175"/>
      <c r="C116" s="175"/>
      <c r="D116" s="175"/>
      <c r="E116" s="175"/>
      <c r="F116" s="175"/>
      <c r="G116" s="175"/>
      <c r="H116" s="175"/>
      <c r="I116" s="175"/>
      <c r="J116" s="175"/>
      <c r="K116" s="175"/>
    </row>
    <row r="117" spans="1:11" ht="15">
      <c r="A117" s="175" t="s">
        <v>86</v>
      </c>
      <c r="B117" s="175"/>
      <c r="C117" s="175"/>
      <c r="D117" s="175"/>
      <c r="E117" s="175"/>
      <c r="F117" s="175"/>
      <c r="G117" s="175"/>
      <c r="H117" s="175"/>
      <c r="I117" s="175"/>
      <c r="J117" s="175"/>
      <c r="K117" s="175"/>
    </row>
    <row r="118" spans="1:11" ht="15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</row>
    <row r="119" spans="1:11" ht="13.5" thickBot="1">
      <c r="A119" s="174" t="s">
        <v>206</v>
      </c>
      <c r="B119" s="174"/>
      <c r="C119" s="174"/>
      <c r="D119" s="174"/>
      <c r="E119" s="174"/>
      <c r="F119" s="174"/>
      <c r="G119" s="174"/>
      <c r="H119" s="174"/>
      <c r="I119" s="174"/>
      <c r="J119" s="174"/>
      <c r="K119" s="174"/>
    </row>
    <row r="120" spans="1:11" ht="77.25" thickBot="1">
      <c r="A120" s="29" t="s">
        <v>21</v>
      </c>
      <c r="B120" s="28" t="s">
        <v>34</v>
      </c>
      <c r="C120" s="30" t="s">
        <v>185</v>
      </c>
      <c r="D120" s="30" t="s">
        <v>190</v>
      </c>
      <c r="J120" s="26" t="s">
        <v>14</v>
      </c>
      <c r="K120" s="26" t="s">
        <v>78</v>
      </c>
    </row>
    <row r="121" spans="1:11" ht="12.75">
      <c r="A121" s="25">
        <v>1</v>
      </c>
      <c r="B121" s="25">
        <f aca="true" t="shared" si="12" ref="B121:B128">B11+B64</f>
        <v>66000</v>
      </c>
      <c r="C121" s="25">
        <f aca="true" t="shared" si="13" ref="C121:C128">B121+(B121*$C$9)</f>
        <v>92400</v>
      </c>
      <c r="D121" s="25">
        <f>C121*13</f>
        <v>1201200</v>
      </c>
      <c r="J121" s="5">
        <v>0</v>
      </c>
      <c r="K121" s="5">
        <f>D121*J121</f>
        <v>0</v>
      </c>
    </row>
    <row r="122" spans="1:11" ht="12.75">
      <c r="A122" s="14">
        <v>2</v>
      </c>
      <c r="B122" s="25">
        <f t="shared" si="12"/>
        <v>66000</v>
      </c>
      <c r="C122" s="25">
        <f t="shared" si="13"/>
        <v>92400</v>
      </c>
      <c r="D122" s="25">
        <f aca="true" t="shared" si="14" ref="D122:D128">C122*13</f>
        <v>1201200</v>
      </c>
      <c r="J122" s="5">
        <v>2</v>
      </c>
      <c r="K122" s="5">
        <f>D122*J122</f>
        <v>2402400</v>
      </c>
    </row>
    <row r="123" spans="1:11" ht="12.75">
      <c r="A123" s="14">
        <v>3</v>
      </c>
      <c r="B123" s="25">
        <f t="shared" si="12"/>
        <v>66000</v>
      </c>
      <c r="C123" s="25">
        <f t="shared" si="13"/>
        <v>92400</v>
      </c>
      <c r="D123" s="25">
        <f t="shared" si="14"/>
        <v>1201200</v>
      </c>
      <c r="J123" s="5">
        <v>335</v>
      </c>
      <c r="K123" s="5">
        <f aca="true" t="shared" si="15" ref="K123:K128">D123*J123</f>
        <v>402402000</v>
      </c>
    </row>
    <row r="124" spans="1:11" ht="12.75">
      <c r="A124" s="14">
        <v>4</v>
      </c>
      <c r="B124" s="25">
        <f t="shared" si="12"/>
        <v>73000</v>
      </c>
      <c r="C124" s="25">
        <f t="shared" si="13"/>
        <v>102200</v>
      </c>
      <c r="D124" s="25">
        <f t="shared" si="14"/>
        <v>1328600</v>
      </c>
      <c r="J124" s="5">
        <v>277</v>
      </c>
      <c r="K124" s="5">
        <f t="shared" si="15"/>
        <v>368022200</v>
      </c>
    </row>
    <row r="125" spans="1:11" ht="12.75">
      <c r="A125" s="14">
        <v>5</v>
      </c>
      <c r="B125" s="25">
        <f t="shared" si="12"/>
        <v>73000</v>
      </c>
      <c r="C125" s="25">
        <f t="shared" si="13"/>
        <v>102200</v>
      </c>
      <c r="D125" s="25">
        <f t="shared" si="14"/>
        <v>1328600</v>
      </c>
      <c r="J125" s="5">
        <v>736</v>
      </c>
      <c r="K125" s="5">
        <f t="shared" si="15"/>
        <v>977849600</v>
      </c>
    </row>
    <row r="126" spans="1:11" ht="12.75">
      <c r="A126" s="14">
        <v>6</v>
      </c>
      <c r="B126" s="25">
        <f t="shared" si="12"/>
        <v>77000</v>
      </c>
      <c r="C126" s="25">
        <f t="shared" si="13"/>
        <v>107800</v>
      </c>
      <c r="D126" s="25">
        <f t="shared" si="14"/>
        <v>1401400</v>
      </c>
      <c r="J126" s="5">
        <v>159</v>
      </c>
      <c r="K126" s="5">
        <f t="shared" si="15"/>
        <v>222822600</v>
      </c>
    </row>
    <row r="127" spans="1:11" ht="12.75">
      <c r="A127" s="14">
        <v>7</v>
      </c>
      <c r="B127" s="25">
        <f t="shared" si="12"/>
        <v>99000</v>
      </c>
      <c r="C127" s="25">
        <f t="shared" si="13"/>
        <v>138600</v>
      </c>
      <c r="D127" s="25">
        <f t="shared" si="14"/>
        <v>1801800</v>
      </c>
      <c r="J127" s="5">
        <v>758</v>
      </c>
      <c r="K127" s="5">
        <f t="shared" si="15"/>
        <v>1365764400</v>
      </c>
    </row>
    <row r="128" spans="1:11" ht="12.75">
      <c r="A128" s="14">
        <v>8</v>
      </c>
      <c r="B128" s="25">
        <f t="shared" si="12"/>
        <v>99000</v>
      </c>
      <c r="C128" s="25">
        <f t="shared" si="13"/>
        <v>138600</v>
      </c>
      <c r="D128" s="25">
        <f t="shared" si="14"/>
        <v>1801800</v>
      </c>
      <c r="J128" s="5">
        <v>228</v>
      </c>
      <c r="K128" s="5">
        <f t="shared" si="15"/>
        <v>410810400</v>
      </c>
    </row>
    <row r="129" spans="1:11" ht="12.75">
      <c r="A129" s="13"/>
      <c r="B129" s="13"/>
      <c r="C129" s="13"/>
      <c r="D129" s="13"/>
      <c r="J129" s="16" t="s">
        <v>18</v>
      </c>
      <c r="K129" s="110">
        <f>SUM(K121:K128)</f>
        <v>3750073600</v>
      </c>
    </row>
    <row r="131" spans="1:11" ht="13.5" thickBot="1">
      <c r="A131" s="173" t="s">
        <v>207</v>
      </c>
      <c r="B131" s="173"/>
      <c r="C131" s="173"/>
      <c r="D131" s="173"/>
      <c r="E131" s="173"/>
      <c r="F131" s="173"/>
      <c r="G131" s="173"/>
      <c r="H131" s="173"/>
      <c r="I131" s="173"/>
      <c r="J131" s="173"/>
      <c r="K131" s="173"/>
    </row>
    <row r="132" spans="1:11" ht="76.5">
      <c r="A132" s="111" t="s">
        <v>21</v>
      </c>
      <c r="B132" s="37" t="s">
        <v>31</v>
      </c>
      <c r="C132" s="26" t="s">
        <v>208</v>
      </c>
      <c r="D132" s="26" t="s">
        <v>211</v>
      </c>
      <c r="E132" s="36" t="s">
        <v>24</v>
      </c>
      <c r="F132" s="24" t="s">
        <v>19</v>
      </c>
      <c r="G132" s="21" t="s">
        <v>20</v>
      </c>
      <c r="H132" s="22" t="s">
        <v>18</v>
      </c>
      <c r="J132" s="26" t="s">
        <v>14</v>
      </c>
      <c r="K132" s="26" t="s">
        <v>76</v>
      </c>
    </row>
    <row r="133" spans="1:11" ht="12.75">
      <c r="A133" s="112">
        <v>5</v>
      </c>
      <c r="B133" s="14">
        <v>73000</v>
      </c>
      <c r="C133" s="14">
        <f>B133+(B133*$B$21)</f>
        <v>100740</v>
      </c>
      <c r="D133" s="14">
        <f>C133*13</f>
        <v>1309620</v>
      </c>
      <c r="E133" s="14">
        <f>H133</f>
        <v>224</v>
      </c>
      <c r="F133" s="14">
        <v>223</v>
      </c>
      <c r="G133" s="14">
        <v>1</v>
      </c>
      <c r="H133" s="5">
        <f>SUM(F133:G133)</f>
        <v>224</v>
      </c>
      <c r="I133" s="113"/>
      <c r="J133" s="5">
        <v>300</v>
      </c>
      <c r="K133" s="5">
        <f>D133*J133</f>
        <v>392886000</v>
      </c>
    </row>
    <row r="134" spans="1:11" ht="12.75">
      <c r="A134" s="13"/>
      <c r="B134" s="13"/>
      <c r="C134" s="13"/>
      <c r="D134" s="13"/>
      <c r="E134" s="13"/>
      <c r="F134" s="23"/>
      <c r="G134" s="23"/>
      <c r="J134" s="16" t="s">
        <v>18</v>
      </c>
      <c r="K134" s="110">
        <f>SUM(K133)</f>
        <v>392886000</v>
      </c>
    </row>
    <row r="135" ht="13.5" thickBot="1"/>
    <row r="136" spans="10:11" ht="13.5" thickBot="1">
      <c r="J136" s="117" t="s">
        <v>153</v>
      </c>
      <c r="K136" s="118">
        <f>K129+K134</f>
        <v>4142959600</v>
      </c>
    </row>
    <row r="140" ht="12.75">
      <c r="A140" s="41" t="s">
        <v>57</v>
      </c>
    </row>
    <row r="141" spans="1:11" ht="20.25">
      <c r="A141" s="177" t="s">
        <v>17</v>
      </c>
      <c r="B141" s="177"/>
      <c r="C141" s="177"/>
      <c r="D141" s="177"/>
      <c r="E141" s="177"/>
      <c r="F141" s="177"/>
      <c r="G141" s="177"/>
      <c r="H141" s="177"/>
      <c r="I141" s="177"/>
      <c r="J141" s="177"/>
      <c r="K141" s="177"/>
    </row>
    <row r="142" spans="1:11" ht="20.25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</row>
    <row r="143" spans="1:11" ht="15">
      <c r="A143" s="175" t="s">
        <v>51</v>
      </c>
      <c r="B143" s="175"/>
      <c r="C143" s="175"/>
      <c r="D143" s="175"/>
      <c r="E143" s="175"/>
      <c r="F143" s="175"/>
      <c r="G143" s="175"/>
      <c r="H143" s="175"/>
      <c r="I143" s="175"/>
      <c r="J143" s="175"/>
      <c r="K143" s="175"/>
    </row>
    <row r="144" spans="1:11" ht="15">
      <c r="A144" s="176" t="s">
        <v>29</v>
      </c>
      <c r="B144" s="176"/>
      <c r="C144" s="176"/>
      <c r="D144" s="176"/>
      <c r="E144" s="176"/>
      <c r="F144" s="176"/>
      <c r="G144" s="176"/>
      <c r="H144" s="176"/>
      <c r="I144" s="176"/>
      <c r="J144" s="176"/>
      <c r="K144" s="176"/>
    </row>
    <row r="145" spans="1:11" ht="15">
      <c r="A145" s="175" t="s">
        <v>32</v>
      </c>
      <c r="B145" s="175"/>
      <c r="C145" s="175"/>
      <c r="D145" s="175"/>
      <c r="E145" s="175"/>
      <c r="F145" s="175"/>
      <c r="G145" s="175"/>
      <c r="H145" s="175"/>
      <c r="I145" s="175"/>
      <c r="J145" s="175"/>
      <c r="K145" s="175"/>
    </row>
    <row r="146" spans="1:11" ht="15">
      <c r="A146" s="175" t="s">
        <v>58</v>
      </c>
      <c r="B146" s="175"/>
      <c r="C146" s="175"/>
      <c r="D146" s="175"/>
      <c r="E146" s="175"/>
      <c r="F146" s="175"/>
      <c r="G146" s="175"/>
      <c r="H146" s="175"/>
      <c r="I146" s="175"/>
      <c r="J146" s="175"/>
      <c r="K146" s="175"/>
    </row>
    <row r="147" spans="1:11" ht="15">
      <c r="A147" s="175" t="s">
        <v>86</v>
      </c>
      <c r="B147" s="175"/>
      <c r="C147" s="175"/>
      <c r="D147" s="175"/>
      <c r="E147" s="175"/>
      <c r="F147" s="175"/>
      <c r="G147" s="175"/>
      <c r="H147" s="175"/>
      <c r="I147" s="175"/>
      <c r="J147" s="175"/>
      <c r="K147" s="175"/>
    </row>
    <row r="148" spans="1:11" ht="15">
      <c r="A148" s="42"/>
      <c r="B148" s="42"/>
      <c r="C148" s="42"/>
      <c r="D148" s="42"/>
      <c r="E148" s="42"/>
      <c r="F148" s="42"/>
      <c r="G148" s="42"/>
      <c r="H148" s="42"/>
      <c r="I148" s="42"/>
      <c r="J148" s="42"/>
      <c r="K148" s="42"/>
    </row>
    <row r="149" spans="1:11" ht="15.75" thickBot="1">
      <c r="A149" s="42"/>
      <c r="B149" s="178" t="s">
        <v>206</v>
      </c>
      <c r="C149" s="178"/>
      <c r="D149" s="178"/>
      <c r="E149" s="178"/>
      <c r="F149" s="178"/>
      <c r="G149" s="178"/>
      <c r="H149" s="178"/>
      <c r="I149" s="178"/>
      <c r="J149" s="178"/>
      <c r="K149" s="42"/>
    </row>
    <row r="150" spans="2:11" ht="51.75" thickBot="1">
      <c r="B150" s="36" t="s">
        <v>52</v>
      </c>
      <c r="C150" s="26" t="s">
        <v>253</v>
      </c>
      <c r="D150" s="29" t="s">
        <v>53</v>
      </c>
      <c r="E150" s="37"/>
      <c r="F150" s="37"/>
      <c r="G150" s="37"/>
      <c r="H150" s="37"/>
      <c r="I150" s="37"/>
      <c r="J150" s="26" t="s">
        <v>191</v>
      </c>
      <c r="K150" s="27"/>
    </row>
    <row r="151" spans="2:10" ht="39" customHeight="1">
      <c r="B151" s="2">
        <v>916000</v>
      </c>
      <c r="C151" s="2">
        <v>2495</v>
      </c>
      <c r="D151" s="38">
        <f>B151*C151</f>
        <v>2285420000</v>
      </c>
      <c r="E151" s="2"/>
      <c r="F151" s="2"/>
      <c r="G151" s="2"/>
      <c r="H151" s="2"/>
      <c r="I151" s="2"/>
      <c r="J151" s="2">
        <f>D151+(D151*$C$9)</f>
        <v>3199588000</v>
      </c>
    </row>
    <row r="152" spans="2:10" ht="12.75" customHeight="1">
      <c r="B152" s="131"/>
      <c r="C152" s="131"/>
      <c r="D152" s="134" t="s">
        <v>256</v>
      </c>
      <c r="E152" s="132"/>
      <c r="F152" s="132"/>
      <c r="G152" s="132"/>
      <c r="H152" s="132"/>
      <c r="I152" s="132"/>
      <c r="J152" s="133">
        <f>J151</f>
        <v>3199588000</v>
      </c>
    </row>
    <row r="153" ht="12.75" customHeight="1"/>
    <row r="154" spans="2:10" ht="13.5" thickBot="1">
      <c r="B154" s="179" t="s">
        <v>207</v>
      </c>
      <c r="C154" s="179"/>
      <c r="D154" s="179"/>
      <c r="E154" s="179"/>
      <c r="F154" s="179"/>
      <c r="G154" s="179"/>
      <c r="H154" s="179"/>
      <c r="I154" s="179"/>
      <c r="J154" s="179"/>
    </row>
    <row r="155" spans="2:10" ht="51.75" thickBot="1">
      <c r="B155" s="36" t="s">
        <v>52</v>
      </c>
      <c r="C155" s="26" t="s">
        <v>254</v>
      </c>
      <c r="D155" s="29" t="s">
        <v>53</v>
      </c>
      <c r="E155" s="37"/>
      <c r="F155" s="37"/>
      <c r="G155" s="37"/>
      <c r="H155" s="37"/>
      <c r="I155" s="37"/>
      <c r="J155" s="26" t="s">
        <v>275</v>
      </c>
    </row>
    <row r="156" spans="2:10" ht="12.75">
      <c r="B156" s="2">
        <v>916000</v>
      </c>
      <c r="C156" s="2">
        <v>250</v>
      </c>
      <c r="D156" s="38">
        <f>B156*C156</f>
        <v>229000000</v>
      </c>
      <c r="E156" s="2"/>
      <c r="F156" s="2"/>
      <c r="G156" s="2"/>
      <c r="H156" s="2"/>
      <c r="I156" s="2"/>
      <c r="J156" s="2">
        <f>D156+(D156*$B$21)</f>
        <v>316020000</v>
      </c>
    </row>
    <row r="157" spans="4:10" ht="12.75">
      <c r="D157" s="134" t="s">
        <v>256</v>
      </c>
      <c r="E157" s="132"/>
      <c r="F157" s="132"/>
      <c r="G157" s="132"/>
      <c r="H157" s="132"/>
      <c r="I157" s="132"/>
      <c r="J157" s="133">
        <f>J156</f>
        <v>316020000</v>
      </c>
    </row>
    <row r="158" spans="4:10" ht="13.5" thickBot="1">
      <c r="D158" s="122"/>
      <c r="E158" s="131"/>
      <c r="F158" s="131"/>
      <c r="G158" s="131"/>
      <c r="H158" s="131"/>
      <c r="I158" s="131"/>
      <c r="J158" s="131"/>
    </row>
    <row r="159" spans="4:10" ht="13.5" thickBot="1">
      <c r="D159" s="117" t="s">
        <v>153</v>
      </c>
      <c r="E159" s="123"/>
      <c r="F159" s="124"/>
      <c r="G159" s="124"/>
      <c r="H159" s="124"/>
      <c r="I159" s="124"/>
      <c r="J159" s="118">
        <f>J152+J157</f>
        <v>3515608000</v>
      </c>
    </row>
    <row r="161" ht="12.75">
      <c r="A161" s="41" t="s">
        <v>59</v>
      </c>
    </row>
    <row r="162" spans="1:11" ht="20.25">
      <c r="A162" s="177" t="s">
        <v>17</v>
      </c>
      <c r="B162" s="177"/>
      <c r="C162" s="177"/>
      <c r="D162" s="177"/>
      <c r="E162" s="177"/>
      <c r="F162" s="177"/>
      <c r="G162" s="177"/>
      <c r="H162" s="177"/>
      <c r="I162" s="177"/>
      <c r="J162" s="177"/>
      <c r="K162" s="177"/>
    </row>
    <row r="163" ht="12.75">
      <c r="A163" s="41"/>
    </row>
    <row r="164" spans="1:11" ht="15">
      <c r="A164" s="175" t="s">
        <v>143</v>
      </c>
      <c r="B164" s="175"/>
      <c r="C164" s="175"/>
      <c r="D164" s="175"/>
      <c r="E164" s="175"/>
      <c r="F164" s="175"/>
      <c r="G164" s="175"/>
      <c r="H164" s="175"/>
      <c r="I164" s="175"/>
      <c r="J164" s="175"/>
      <c r="K164" s="175"/>
    </row>
    <row r="165" spans="1:11" ht="15">
      <c r="A165" s="175" t="s">
        <v>144</v>
      </c>
      <c r="B165" s="175"/>
      <c r="C165" s="175"/>
      <c r="D165" s="175"/>
      <c r="E165" s="175"/>
      <c r="F165" s="175"/>
      <c r="G165" s="175"/>
      <c r="H165" s="175"/>
      <c r="I165" s="175"/>
      <c r="J165" s="175"/>
      <c r="K165" s="175"/>
    </row>
    <row r="166" spans="1:11" ht="15">
      <c r="A166" s="176" t="s">
        <v>29</v>
      </c>
      <c r="B166" s="176"/>
      <c r="C166" s="176"/>
      <c r="D166" s="176"/>
      <c r="E166" s="176"/>
      <c r="F166" s="176"/>
      <c r="G166" s="176"/>
      <c r="H166" s="176"/>
      <c r="I166" s="176"/>
      <c r="J166" s="176"/>
      <c r="K166" s="176"/>
    </row>
    <row r="167" spans="1:11" ht="15">
      <c r="A167" s="175" t="s">
        <v>210</v>
      </c>
      <c r="B167" s="175"/>
      <c r="C167" s="175"/>
      <c r="D167" s="175"/>
      <c r="E167" s="175"/>
      <c r="F167" s="175"/>
      <c r="G167" s="175"/>
      <c r="H167" s="175"/>
      <c r="I167" s="175"/>
      <c r="J167" s="175"/>
      <c r="K167" s="175"/>
    </row>
    <row r="168" ht="13.5" thickBot="1"/>
    <row r="169" spans="1:11" ht="64.5" thickBot="1">
      <c r="A169" s="29" t="s">
        <v>145</v>
      </c>
      <c r="B169" s="28" t="s">
        <v>54</v>
      </c>
      <c r="C169" s="30" t="s">
        <v>146</v>
      </c>
      <c r="D169" s="30" t="s">
        <v>147</v>
      </c>
      <c r="J169" s="26" t="s">
        <v>148</v>
      </c>
      <c r="K169" s="26" t="s">
        <v>192</v>
      </c>
    </row>
    <row r="170" spans="1:11" ht="12.75">
      <c r="A170" s="25" t="s">
        <v>149</v>
      </c>
      <c r="B170" s="25">
        <v>6</v>
      </c>
      <c r="C170" s="25">
        <v>500000</v>
      </c>
      <c r="D170" s="25">
        <f>C170*6</f>
        <v>3000000</v>
      </c>
      <c r="J170" s="5">
        <f>B170*D170</f>
        <v>18000000</v>
      </c>
      <c r="K170" s="5">
        <f>((J170+(J170*$C$9)))</f>
        <v>25200000</v>
      </c>
    </row>
    <row r="171" spans="1:11" ht="12.75">
      <c r="A171" s="14" t="s">
        <v>150</v>
      </c>
      <c r="B171" s="25">
        <v>0</v>
      </c>
      <c r="C171" s="25">
        <v>500000</v>
      </c>
      <c r="D171" s="25">
        <f>C171*6</f>
        <v>3000000</v>
      </c>
      <c r="J171" s="5">
        <f>B171*D171</f>
        <v>0</v>
      </c>
      <c r="K171" s="5">
        <f>((J171+(J171*$C$9)))</f>
        <v>0</v>
      </c>
    </row>
    <row r="172" spans="1:11" ht="12.75">
      <c r="A172" s="14" t="s">
        <v>151</v>
      </c>
      <c r="B172" s="25">
        <v>1</v>
      </c>
      <c r="C172" s="25">
        <v>500000</v>
      </c>
      <c r="D172" s="25">
        <f>C172*6</f>
        <v>3000000</v>
      </c>
      <c r="J172" s="5">
        <f>B172*D172</f>
        <v>3000000</v>
      </c>
      <c r="K172" s="5">
        <f>((J172+(J172*$C$9)))</f>
        <v>4200000</v>
      </c>
    </row>
    <row r="173" spans="1:11" ht="12.75">
      <c r="A173" s="14" t="s">
        <v>153</v>
      </c>
      <c r="B173" s="25">
        <v>7</v>
      </c>
      <c r="C173" s="25">
        <f>SUM(C170:C172)</f>
        <v>1500000</v>
      </c>
      <c r="D173" s="25">
        <f>C173*6</f>
        <v>9000000</v>
      </c>
      <c r="J173" s="5">
        <f>SUM(J170:J172)</f>
        <v>21000000</v>
      </c>
      <c r="K173" s="5">
        <f>SUM(K170:K172)</f>
        <v>29400000</v>
      </c>
    </row>
    <row r="176" spans="2:5" ht="12.75">
      <c r="B176" s="1"/>
      <c r="E176" s="1"/>
    </row>
    <row r="178" ht="12.75">
      <c r="A178" s="41" t="s">
        <v>68</v>
      </c>
    </row>
    <row r="179" spans="1:11" ht="20.25">
      <c r="A179" s="177" t="s">
        <v>17</v>
      </c>
      <c r="B179" s="177"/>
      <c r="C179" s="177"/>
      <c r="D179" s="177"/>
      <c r="E179" s="177"/>
      <c r="F179" s="177"/>
      <c r="G179" s="177"/>
      <c r="H179" s="177"/>
      <c r="I179" s="177"/>
      <c r="J179" s="177"/>
      <c r="K179" s="177"/>
    </row>
    <row r="180" ht="12.75">
      <c r="A180" s="41"/>
    </row>
    <row r="181" spans="1:11" ht="15">
      <c r="A181" s="175" t="s">
        <v>143</v>
      </c>
      <c r="B181" s="175"/>
      <c r="C181" s="175"/>
      <c r="D181" s="175"/>
      <c r="E181" s="175"/>
      <c r="F181" s="175"/>
      <c r="G181" s="175"/>
      <c r="H181" s="175"/>
      <c r="I181" s="175"/>
      <c r="J181" s="175"/>
      <c r="K181" s="175"/>
    </row>
    <row r="182" spans="1:11" ht="15">
      <c r="A182" s="175" t="s">
        <v>144</v>
      </c>
      <c r="B182" s="175"/>
      <c r="C182" s="175"/>
      <c r="D182" s="175"/>
      <c r="E182" s="175"/>
      <c r="F182" s="175"/>
      <c r="G182" s="175"/>
      <c r="H182" s="175"/>
      <c r="I182" s="175"/>
      <c r="J182" s="175"/>
      <c r="K182" s="175"/>
    </row>
    <row r="183" spans="1:11" ht="15">
      <c r="A183" s="176" t="s">
        <v>29</v>
      </c>
      <c r="B183" s="176"/>
      <c r="C183" s="176"/>
      <c r="D183" s="176"/>
      <c r="E183" s="176"/>
      <c r="F183" s="176"/>
      <c r="G183" s="176"/>
      <c r="H183" s="176"/>
      <c r="I183" s="176"/>
      <c r="J183" s="176"/>
      <c r="K183" s="176"/>
    </row>
    <row r="184" spans="1:11" ht="15">
      <c r="A184" s="175" t="s">
        <v>58</v>
      </c>
      <c r="B184" s="175"/>
      <c r="C184" s="175"/>
      <c r="D184" s="175"/>
      <c r="E184" s="175"/>
      <c r="F184" s="175"/>
      <c r="G184" s="175"/>
      <c r="H184" s="175"/>
      <c r="I184" s="175"/>
      <c r="J184" s="175"/>
      <c r="K184" s="175"/>
    </row>
    <row r="185" spans="1:11" ht="15">
      <c r="A185" s="175" t="s">
        <v>86</v>
      </c>
      <c r="B185" s="175"/>
      <c r="C185" s="175"/>
      <c r="D185" s="175"/>
      <c r="E185" s="175"/>
      <c r="F185" s="175"/>
      <c r="G185" s="175"/>
      <c r="H185" s="175"/>
      <c r="I185" s="175"/>
      <c r="J185" s="175"/>
      <c r="K185" s="175"/>
    </row>
    <row r="186" ht="13.5" thickBot="1"/>
    <row r="187" spans="1:11" ht="64.5" thickBot="1">
      <c r="A187" s="29" t="s">
        <v>145</v>
      </c>
      <c r="B187" s="28" t="s">
        <v>54</v>
      </c>
      <c r="C187" s="30" t="s">
        <v>146</v>
      </c>
      <c r="D187" s="30" t="s">
        <v>147</v>
      </c>
      <c r="J187" s="26" t="s">
        <v>148</v>
      </c>
      <c r="K187" s="26" t="s">
        <v>192</v>
      </c>
    </row>
    <row r="188" spans="1:11" ht="12.75">
      <c r="A188" s="25" t="s">
        <v>149</v>
      </c>
      <c r="B188" s="25">
        <v>6</v>
      </c>
      <c r="C188" s="25">
        <v>500000</v>
      </c>
      <c r="D188" s="25">
        <f>C188*12</f>
        <v>6000000</v>
      </c>
      <c r="J188" s="5">
        <f>B188*D188</f>
        <v>36000000</v>
      </c>
      <c r="K188" s="5">
        <f>((J188+(J188*$C$9)))</f>
        <v>50400000</v>
      </c>
    </row>
    <row r="189" spans="1:11" ht="12.75">
      <c r="A189" s="14" t="s">
        <v>150</v>
      </c>
      <c r="B189" s="25">
        <v>0</v>
      </c>
      <c r="C189" s="25">
        <v>500000</v>
      </c>
      <c r="D189" s="25">
        <f>C189*12</f>
        <v>6000000</v>
      </c>
      <c r="J189" s="5">
        <f>B189*D189</f>
        <v>0</v>
      </c>
      <c r="K189" s="5">
        <f>((J189+(J189*$C$9)))</f>
        <v>0</v>
      </c>
    </row>
    <row r="190" spans="1:11" ht="12.75">
      <c r="A190" s="14" t="s">
        <v>151</v>
      </c>
      <c r="B190" s="25">
        <v>1</v>
      </c>
      <c r="C190" s="25">
        <v>500000</v>
      </c>
      <c r="D190" s="25">
        <f>C190*12</f>
        <v>6000000</v>
      </c>
      <c r="J190" s="5">
        <f>B190*D190</f>
        <v>6000000</v>
      </c>
      <c r="K190" s="5">
        <f>((J190+(J190*$C$9)))</f>
        <v>8400000</v>
      </c>
    </row>
    <row r="191" spans="1:11" ht="12.75">
      <c r="A191" s="14" t="s">
        <v>153</v>
      </c>
      <c r="B191" s="25">
        <v>7</v>
      </c>
      <c r="C191" s="25">
        <f>SUM(C188:C190)</f>
        <v>1500000</v>
      </c>
      <c r="D191" s="25">
        <f>C191*12</f>
        <v>18000000</v>
      </c>
      <c r="J191" s="5">
        <f>SUM(J188:J190)</f>
        <v>42000000</v>
      </c>
      <c r="K191" s="5">
        <f>SUM(K188:K190)</f>
        <v>58800000</v>
      </c>
    </row>
  </sheetData>
  <mergeCells count="51">
    <mergeCell ref="A87:K87"/>
    <mergeCell ref="B89:K89"/>
    <mergeCell ref="B102:K102"/>
    <mergeCell ref="A183:K183"/>
    <mergeCell ref="A165:K165"/>
    <mergeCell ref="A166:K166"/>
    <mergeCell ref="A182:K182"/>
    <mergeCell ref="A181:K181"/>
    <mergeCell ref="A179:K179"/>
    <mergeCell ref="A164:K164"/>
    <mergeCell ref="A184:K184"/>
    <mergeCell ref="A185:K185"/>
    <mergeCell ref="A57:K57"/>
    <mergeCell ref="A83:K83"/>
    <mergeCell ref="A141:K141"/>
    <mergeCell ref="A162:K162"/>
    <mergeCell ref="A113:K113"/>
    <mergeCell ref="A85:K85"/>
    <mergeCell ref="A86:K86"/>
    <mergeCell ref="A167:K167"/>
    <mergeCell ref="A143:K143"/>
    <mergeCell ref="A145:K145"/>
    <mergeCell ref="A144:K144"/>
    <mergeCell ref="A146:K146"/>
    <mergeCell ref="A147:K147"/>
    <mergeCell ref="B149:J149"/>
    <mergeCell ref="B154:J154"/>
    <mergeCell ref="A2:K2"/>
    <mergeCell ref="A4:K4"/>
    <mergeCell ref="A5:K5"/>
    <mergeCell ref="A6:K6"/>
    <mergeCell ref="A8:K8"/>
    <mergeCell ref="A36:K36"/>
    <mergeCell ref="A48:K48"/>
    <mergeCell ref="A62:K62"/>
    <mergeCell ref="A30:K30"/>
    <mergeCell ref="A32:K32"/>
    <mergeCell ref="A33:K33"/>
    <mergeCell ref="A34:K34"/>
    <mergeCell ref="A58:K58"/>
    <mergeCell ref="A59:K59"/>
    <mergeCell ref="A74:K74"/>
    <mergeCell ref="A119:K119"/>
    <mergeCell ref="A131:K131"/>
    <mergeCell ref="A22:K22"/>
    <mergeCell ref="A116:K116"/>
    <mergeCell ref="A117:K117"/>
    <mergeCell ref="A114:K114"/>
    <mergeCell ref="A115:K115"/>
    <mergeCell ref="A60:K60"/>
    <mergeCell ref="A111:K111"/>
  </mergeCells>
  <printOptions horizontalCentered="1" verticalCentered="1"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  <rowBreaks count="7" manualBreakCount="7">
    <brk id="28" max="255" man="1"/>
    <brk id="54" max="255" man="1"/>
    <brk id="81" max="255" man="1"/>
    <brk id="108" max="255" man="1"/>
    <brk id="138" max="255" man="1"/>
    <brk id="159" max="255" man="1"/>
    <brk id="17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9"/>
  <sheetViews>
    <sheetView zoomScale="75" zoomScaleNormal="75" workbookViewId="0" topLeftCell="A1">
      <selection activeCell="A1" sqref="A1:AD6"/>
    </sheetView>
  </sheetViews>
  <sheetFormatPr defaultColWidth="9.140625" defaultRowHeight="12.75"/>
  <cols>
    <col min="2" max="2" width="12.00390625" style="0" bestFit="1" customWidth="1"/>
    <col min="3" max="3" width="9.8515625" style="0" customWidth="1"/>
    <col min="4" max="4" width="13.140625" style="0" bestFit="1" customWidth="1"/>
    <col min="5" max="7" width="13.140625" style="0" hidden="1" customWidth="1"/>
    <col min="8" max="8" width="11.28125" style="0" hidden="1" customWidth="1"/>
    <col min="9" max="9" width="10.140625" style="0" hidden="1" customWidth="1"/>
    <col min="10" max="10" width="11.421875" style="0" hidden="1" customWidth="1"/>
    <col min="11" max="11" width="9.7109375" style="0" hidden="1" customWidth="1"/>
    <col min="12" max="12" width="10.140625" style="0" hidden="1" customWidth="1"/>
    <col min="13" max="13" width="10.57421875" style="0" hidden="1" customWidth="1"/>
    <col min="14" max="15" width="10.140625" style="0" hidden="1" customWidth="1"/>
    <col min="16" max="18" width="9.140625" style="0" hidden="1" customWidth="1"/>
    <col min="19" max="19" width="13.57421875" style="0" customWidth="1"/>
    <col min="20" max="20" width="13.8515625" style="0" customWidth="1"/>
    <col min="21" max="21" width="13.57421875" style="0" customWidth="1"/>
    <col min="22" max="22" width="13.7109375" style="0" customWidth="1"/>
    <col min="23" max="23" width="13.57421875" style="0" bestFit="1" customWidth="1"/>
    <col min="24" max="24" width="13.57421875" style="0" customWidth="1"/>
    <col min="25" max="25" width="14.28125" style="69" bestFit="1" customWidth="1"/>
    <col min="26" max="26" width="11.8515625" style="0" customWidth="1"/>
    <col min="27" max="27" width="14.28125" style="0" customWidth="1"/>
    <col min="28" max="28" width="14.7109375" style="0" bestFit="1" customWidth="1"/>
    <col min="29" max="29" width="10.28125" style="0" customWidth="1"/>
    <col min="30" max="30" width="12.57421875" style="0" customWidth="1"/>
  </cols>
  <sheetData>
    <row r="1" ht="15">
      <c r="A1" s="119" t="s">
        <v>74</v>
      </c>
    </row>
    <row r="2" spans="1:30" s="53" customFormat="1" ht="20.25">
      <c r="A2" s="177" t="s">
        <v>17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</row>
    <row r="3" spans="1:21" s="53" customFormat="1" ht="9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1:30" s="53" customFormat="1" ht="20.25">
      <c r="A4" s="177" t="s">
        <v>100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</row>
    <row r="5" spans="1:24" s="53" customFormat="1" ht="3.75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</row>
    <row r="6" spans="1:30" s="53" customFormat="1" ht="20.25">
      <c r="A6" s="177" t="s">
        <v>131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</row>
    <row r="7" spans="1:24" s="53" customFormat="1" ht="20.2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</row>
    <row r="8" spans="1:24" ht="12.75" hidden="1">
      <c r="A8" s="1"/>
      <c r="B8" s="1"/>
      <c r="C8" s="1"/>
      <c r="D8" s="1"/>
      <c r="H8" s="1"/>
      <c r="J8" t="s">
        <v>0</v>
      </c>
      <c r="S8" s="56">
        <v>36496</v>
      </c>
      <c r="T8" s="56">
        <v>36496</v>
      </c>
      <c r="U8" s="56">
        <v>36505</v>
      </c>
      <c r="V8" s="56">
        <v>41579</v>
      </c>
      <c r="W8" s="56">
        <v>36496</v>
      </c>
      <c r="X8" s="56"/>
    </row>
    <row r="9" spans="1:30" ht="142.5" customHeight="1">
      <c r="A9" s="2" t="s">
        <v>1</v>
      </c>
      <c r="B9" s="15" t="s">
        <v>2</v>
      </c>
      <c r="C9" s="15" t="s">
        <v>3</v>
      </c>
      <c r="D9" s="15" t="s">
        <v>4</v>
      </c>
      <c r="E9" s="15" t="s">
        <v>37</v>
      </c>
      <c r="F9" s="58" t="s">
        <v>215</v>
      </c>
      <c r="G9" s="3" t="s">
        <v>5</v>
      </c>
      <c r="H9" s="3" t="s">
        <v>6</v>
      </c>
      <c r="I9" s="15" t="s">
        <v>15</v>
      </c>
      <c r="J9" s="4" t="s">
        <v>88</v>
      </c>
      <c r="K9" s="4" t="s">
        <v>89</v>
      </c>
      <c r="L9" s="15" t="s">
        <v>14</v>
      </c>
      <c r="M9" s="4" t="s">
        <v>216</v>
      </c>
      <c r="N9" s="4" t="s">
        <v>128</v>
      </c>
      <c r="O9" s="4" t="s">
        <v>87</v>
      </c>
      <c r="P9" s="15" t="s">
        <v>217</v>
      </c>
      <c r="Q9" s="15" t="s">
        <v>129</v>
      </c>
      <c r="R9" s="15" t="s">
        <v>96</v>
      </c>
      <c r="S9" s="15" t="s">
        <v>193</v>
      </c>
      <c r="T9" s="15" t="s">
        <v>194</v>
      </c>
      <c r="U9" s="15" t="s">
        <v>195</v>
      </c>
      <c r="V9" s="15" t="s">
        <v>196</v>
      </c>
      <c r="W9" s="15" t="s">
        <v>197</v>
      </c>
      <c r="X9" s="15" t="s">
        <v>198</v>
      </c>
      <c r="Y9" s="15" t="s">
        <v>199</v>
      </c>
      <c r="Z9" s="15" t="s">
        <v>200</v>
      </c>
      <c r="AA9" s="15" t="s">
        <v>201</v>
      </c>
      <c r="AB9" s="15" t="s">
        <v>202</v>
      </c>
      <c r="AC9" s="15" t="s">
        <v>203</v>
      </c>
      <c r="AD9" s="15" t="s">
        <v>204</v>
      </c>
    </row>
    <row r="10" spans="1:30" ht="12.75">
      <c r="A10" s="6">
        <v>1</v>
      </c>
      <c r="B10" s="7">
        <v>10031100</v>
      </c>
      <c r="C10" s="7" t="s">
        <v>126</v>
      </c>
      <c r="D10" s="7">
        <v>12966576</v>
      </c>
      <c r="E10" s="5">
        <f aca="true" t="shared" si="0" ref="E10:E22">D10-B10</f>
        <v>2935476</v>
      </c>
      <c r="F10" s="59">
        <f>E10+(E10*40%)</f>
        <v>4109666.4000000004</v>
      </c>
      <c r="G10" s="5">
        <v>1691521</v>
      </c>
      <c r="H10" s="5">
        <v>2001441</v>
      </c>
      <c r="I10" s="5">
        <f aca="true" t="shared" si="1" ref="I10:I22">H10-G10</f>
        <v>309920</v>
      </c>
      <c r="J10" s="5">
        <f aca="true" t="shared" si="2" ref="J10:J22">E10*50%</f>
        <v>1467738</v>
      </c>
      <c r="K10" s="5">
        <f aca="true" t="shared" si="3" ref="K10:K22">E10*50%</f>
        <v>1467738</v>
      </c>
      <c r="L10" s="17">
        <v>0</v>
      </c>
      <c r="M10" s="5">
        <f>(J10+(J10*40%))</f>
        <v>2054833.2000000002</v>
      </c>
      <c r="N10" s="5">
        <f>(M10/12)*2</f>
        <v>342472.2</v>
      </c>
      <c r="O10" s="5">
        <f>(M10/12)*11</f>
        <v>1883597.1</v>
      </c>
      <c r="P10" s="5">
        <f>(I10+(I10*40%))</f>
        <v>433888</v>
      </c>
      <c r="Q10" s="5">
        <f>(P10/13)*2</f>
        <v>66752</v>
      </c>
      <c r="R10" s="5">
        <f>(P10/13)*11</f>
        <v>367136</v>
      </c>
      <c r="S10" s="5">
        <f>N10*L10</f>
        <v>0</v>
      </c>
      <c r="T10" s="5">
        <f>Q10*L10</f>
        <v>0</v>
      </c>
      <c r="U10" s="70">
        <f aca="true" t="shared" si="4" ref="U10:U22">G27*L10</f>
        <v>0</v>
      </c>
      <c r="V10" s="5">
        <f>O10*L10</f>
        <v>0</v>
      </c>
      <c r="W10" s="16">
        <f>R10*L10</f>
        <v>0</v>
      </c>
      <c r="X10" s="70">
        <f aca="true" t="shared" si="5" ref="X10:X16">H27*L10</f>
        <v>0</v>
      </c>
      <c r="Y10" s="5">
        <f>((F10/12)*2)*L10</f>
        <v>0</v>
      </c>
      <c r="Z10" s="5">
        <f>Q10*L10</f>
        <v>0</v>
      </c>
      <c r="AA10" s="70">
        <f aca="true" t="shared" si="6" ref="AA10:AA22">G27*L10</f>
        <v>0</v>
      </c>
      <c r="AB10" s="5">
        <f>((F10/12)*13)*L10</f>
        <v>0</v>
      </c>
      <c r="AC10" s="70">
        <f>((P10/12)*13)*L10</f>
        <v>0</v>
      </c>
      <c r="AD10" s="70">
        <f>(((F27/12))*13)*L10</f>
        <v>0</v>
      </c>
    </row>
    <row r="11" spans="1:30" ht="12.75">
      <c r="A11" s="6">
        <v>2</v>
      </c>
      <c r="B11" s="7">
        <v>11743512</v>
      </c>
      <c r="C11" s="7" t="s">
        <v>126</v>
      </c>
      <c r="D11" s="7">
        <v>12966576</v>
      </c>
      <c r="E11" s="5">
        <f t="shared" si="0"/>
        <v>1223064</v>
      </c>
      <c r="F11" s="59">
        <f aca="true" t="shared" si="7" ref="F11:F22">E11+(E11*40%)</f>
        <v>1712289.6</v>
      </c>
      <c r="G11" s="5">
        <v>1893892</v>
      </c>
      <c r="H11" s="5">
        <v>2001441</v>
      </c>
      <c r="I11" s="5">
        <f t="shared" si="1"/>
        <v>107549</v>
      </c>
      <c r="J11" s="5">
        <f t="shared" si="2"/>
        <v>611532</v>
      </c>
      <c r="K11" s="5">
        <f t="shared" si="3"/>
        <v>611532</v>
      </c>
      <c r="L11" s="17">
        <v>2</v>
      </c>
      <c r="M11" s="5">
        <f aca="true" t="shared" si="8" ref="M11:M22">(J11+(J11*40%))</f>
        <v>856144.8</v>
      </c>
      <c r="N11" s="5">
        <f aca="true" t="shared" si="9" ref="N11:N22">(M11/12)*2</f>
        <v>142690.80000000002</v>
      </c>
      <c r="O11" s="5">
        <f aca="true" t="shared" si="10" ref="O11:O22">(M11/12)*11</f>
        <v>784799.4000000001</v>
      </c>
      <c r="P11" s="5">
        <f aca="true" t="shared" si="11" ref="P11:P22">(I11+(I11*40%))</f>
        <v>150568.6</v>
      </c>
      <c r="Q11" s="5">
        <f aca="true" t="shared" si="12" ref="Q11:Q22">(P11/13)*2</f>
        <v>23164.4</v>
      </c>
      <c r="R11" s="5">
        <f aca="true" t="shared" si="13" ref="R11:R22">(P11/13)*11</f>
        <v>127404.20000000001</v>
      </c>
      <c r="S11" s="5">
        <f aca="true" t="shared" si="14" ref="S11:S22">N11*L11</f>
        <v>285381.60000000003</v>
      </c>
      <c r="T11" s="5">
        <f aca="true" t="shared" si="15" ref="T11:T22">Q11*L11</f>
        <v>46328.8</v>
      </c>
      <c r="U11" s="70">
        <f t="shared" si="4"/>
        <v>24231.2</v>
      </c>
      <c r="V11" s="5">
        <f aca="true" t="shared" si="16" ref="V11:V22">O11*L11</f>
        <v>1569598.8000000003</v>
      </c>
      <c r="W11" s="16">
        <f aca="true" t="shared" si="17" ref="W11:W22">R11*L11</f>
        <v>254808.40000000002</v>
      </c>
      <c r="X11" s="70">
        <f t="shared" si="5"/>
        <v>133271.6</v>
      </c>
      <c r="Y11" s="5">
        <f aca="true" t="shared" si="18" ref="Y11:Y22">((F11/12)*2)*L11</f>
        <v>570763.2000000001</v>
      </c>
      <c r="Z11" s="5">
        <f aca="true" t="shared" si="19" ref="Z11:Z22">Q11*L11</f>
        <v>46328.8</v>
      </c>
      <c r="AA11" s="70">
        <f t="shared" si="6"/>
        <v>24231.2</v>
      </c>
      <c r="AB11" s="5">
        <f aca="true" t="shared" si="20" ref="AB11:AB22">((F11/12)*13)*L11</f>
        <v>3709960.8000000003</v>
      </c>
      <c r="AC11" s="70">
        <f aca="true" t="shared" si="21" ref="AC11:AC22">((P11/12)*13)*L11</f>
        <v>326231.9666666667</v>
      </c>
      <c r="AD11" s="70">
        <f aca="true" t="shared" si="22" ref="AD11:AD22">(((F28/12))*13)*L11</f>
        <v>157502.80000000002</v>
      </c>
    </row>
    <row r="12" spans="1:30" ht="12.75">
      <c r="A12" s="6">
        <v>3</v>
      </c>
      <c r="B12" s="7">
        <v>12966576</v>
      </c>
      <c r="C12" s="7" t="s">
        <v>126</v>
      </c>
      <c r="D12" s="7">
        <v>12966576</v>
      </c>
      <c r="E12" s="5">
        <f t="shared" si="0"/>
        <v>0</v>
      </c>
      <c r="F12" s="59">
        <f t="shared" si="7"/>
        <v>0</v>
      </c>
      <c r="G12" s="5">
        <v>2001441</v>
      </c>
      <c r="H12" s="5">
        <v>2001441</v>
      </c>
      <c r="I12" s="5">
        <f t="shared" si="1"/>
        <v>0</v>
      </c>
      <c r="J12" s="5">
        <f t="shared" si="2"/>
        <v>0</v>
      </c>
      <c r="K12" s="5">
        <f t="shared" si="3"/>
        <v>0</v>
      </c>
      <c r="L12" s="17">
        <v>334</v>
      </c>
      <c r="M12" s="5">
        <f t="shared" si="8"/>
        <v>0</v>
      </c>
      <c r="N12" s="5">
        <f t="shared" si="9"/>
        <v>0</v>
      </c>
      <c r="O12" s="5">
        <f t="shared" si="10"/>
        <v>0</v>
      </c>
      <c r="P12" s="5">
        <f t="shared" si="11"/>
        <v>0</v>
      </c>
      <c r="Q12" s="5">
        <f t="shared" si="12"/>
        <v>0</v>
      </c>
      <c r="R12" s="5">
        <f t="shared" si="13"/>
        <v>0</v>
      </c>
      <c r="S12" s="5">
        <f t="shared" si="14"/>
        <v>0</v>
      </c>
      <c r="T12" s="5">
        <f t="shared" si="15"/>
        <v>0</v>
      </c>
      <c r="U12" s="70">
        <f t="shared" si="4"/>
        <v>0</v>
      </c>
      <c r="V12" s="5">
        <f t="shared" si="16"/>
        <v>0</v>
      </c>
      <c r="W12" s="16">
        <f t="shared" si="17"/>
        <v>0</v>
      </c>
      <c r="X12" s="70">
        <f t="shared" si="5"/>
        <v>0</v>
      </c>
      <c r="Y12" s="5">
        <f t="shared" si="18"/>
        <v>0</v>
      </c>
      <c r="Z12" s="5">
        <f t="shared" si="19"/>
        <v>0</v>
      </c>
      <c r="AA12" s="70">
        <f t="shared" si="6"/>
        <v>0</v>
      </c>
      <c r="AB12" s="5">
        <f t="shared" si="20"/>
        <v>0</v>
      </c>
      <c r="AC12" s="70">
        <f t="shared" si="21"/>
        <v>0</v>
      </c>
      <c r="AD12" s="70">
        <f t="shared" si="22"/>
        <v>0</v>
      </c>
    </row>
    <row r="13" spans="1:30" ht="12.75">
      <c r="A13" s="6">
        <v>3</v>
      </c>
      <c r="B13" s="7">
        <v>12966576</v>
      </c>
      <c r="C13" s="7" t="s">
        <v>9</v>
      </c>
      <c r="D13" s="7">
        <v>14439948</v>
      </c>
      <c r="E13" s="5">
        <f t="shared" si="0"/>
        <v>1473372</v>
      </c>
      <c r="F13" s="59">
        <f t="shared" si="7"/>
        <v>2062720.8</v>
      </c>
      <c r="G13" s="5">
        <v>2001441</v>
      </c>
      <c r="H13" s="5">
        <v>2162212</v>
      </c>
      <c r="I13" s="5">
        <f t="shared" si="1"/>
        <v>160771</v>
      </c>
      <c r="J13" s="5">
        <f t="shared" si="2"/>
        <v>736686</v>
      </c>
      <c r="K13" s="5">
        <f t="shared" si="3"/>
        <v>736686</v>
      </c>
      <c r="L13" s="17">
        <v>1</v>
      </c>
      <c r="M13" s="5">
        <f t="shared" si="8"/>
        <v>1031360.4</v>
      </c>
      <c r="N13" s="5">
        <f t="shared" si="9"/>
        <v>171893.4</v>
      </c>
      <c r="O13" s="5">
        <f t="shared" si="10"/>
        <v>945413.7</v>
      </c>
      <c r="P13" s="5">
        <f t="shared" si="11"/>
        <v>225079.4</v>
      </c>
      <c r="Q13" s="5">
        <f t="shared" si="12"/>
        <v>34627.6</v>
      </c>
      <c r="R13" s="5">
        <f t="shared" si="13"/>
        <v>190451.8</v>
      </c>
      <c r="S13" s="5">
        <f t="shared" si="14"/>
        <v>171893.4</v>
      </c>
      <c r="T13" s="5">
        <f t="shared" si="15"/>
        <v>34627.6</v>
      </c>
      <c r="U13" s="70">
        <f t="shared" si="4"/>
        <v>21302.399999999998</v>
      </c>
      <c r="V13" s="5">
        <f t="shared" si="16"/>
        <v>945413.7</v>
      </c>
      <c r="W13" s="16">
        <f t="shared" si="17"/>
        <v>190451.8</v>
      </c>
      <c r="X13" s="70">
        <f t="shared" si="5"/>
        <v>117163.19999999998</v>
      </c>
      <c r="Y13" s="5">
        <f t="shared" si="18"/>
        <v>343786.8</v>
      </c>
      <c r="Z13" s="5">
        <f t="shared" si="19"/>
        <v>34627.6</v>
      </c>
      <c r="AA13" s="70">
        <f t="shared" si="6"/>
        <v>21302.399999999998</v>
      </c>
      <c r="AB13" s="5">
        <f t="shared" si="20"/>
        <v>2234614.1999999997</v>
      </c>
      <c r="AC13" s="70">
        <f t="shared" si="21"/>
        <v>243836.01666666663</v>
      </c>
      <c r="AD13" s="70">
        <f t="shared" si="22"/>
        <v>138465.59999999998</v>
      </c>
    </row>
    <row r="14" spans="1:30" ht="12.75">
      <c r="A14" s="6">
        <v>4</v>
      </c>
      <c r="B14" s="7">
        <v>14439948</v>
      </c>
      <c r="C14" s="7" t="s">
        <v>9</v>
      </c>
      <c r="D14" s="7">
        <v>14439948</v>
      </c>
      <c r="E14" s="5">
        <f t="shared" si="0"/>
        <v>0</v>
      </c>
      <c r="F14" s="59">
        <f t="shared" si="7"/>
        <v>0</v>
      </c>
      <c r="G14" s="5">
        <v>2162212</v>
      </c>
      <c r="H14" s="5">
        <v>2162212</v>
      </c>
      <c r="I14" s="5">
        <f t="shared" si="1"/>
        <v>0</v>
      </c>
      <c r="J14" s="5">
        <f t="shared" si="2"/>
        <v>0</v>
      </c>
      <c r="K14" s="5">
        <f t="shared" si="3"/>
        <v>0</v>
      </c>
      <c r="L14" s="17">
        <v>86</v>
      </c>
      <c r="M14" s="5">
        <f t="shared" si="8"/>
        <v>0</v>
      </c>
      <c r="N14" s="5">
        <f t="shared" si="9"/>
        <v>0</v>
      </c>
      <c r="O14" s="5">
        <f t="shared" si="10"/>
        <v>0</v>
      </c>
      <c r="P14" s="5">
        <f t="shared" si="11"/>
        <v>0</v>
      </c>
      <c r="Q14" s="5">
        <f t="shared" si="12"/>
        <v>0</v>
      </c>
      <c r="R14" s="5">
        <f t="shared" si="13"/>
        <v>0</v>
      </c>
      <c r="S14" s="5">
        <f t="shared" si="14"/>
        <v>0</v>
      </c>
      <c r="T14" s="5">
        <f t="shared" si="15"/>
        <v>0</v>
      </c>
      <c r="U14" s="70">
        <f t="shared" si="4"/>
        <v>0</v>
      </c>
      <c r="V14" s="5">
        <f t="shared" si="16"/>
        <v>0</v>
      </c>
      <c r="W14" s="16">
        <f t="shared" si="17"/>
        <v>0</v>
      </c>
      <c r="X14" s="70">
        <f t="shared" si="5"/>
        <v>0</v>
      </c>
      <c r="Y14" s="5">
        <f t="shared" si="18"/>
        <v>0</v>
      </c>
      <c r="Z14" s="5">
        <f t="shared" si="19"/>
        <v>0</v>
      </c>
      <c r="AA14" s="70">
        <f t="shared" si="6"/>
        <v>0</v>
      </c>
      <c r="AB14" s="5">
        <f t="shared" si="20"/>
        <v>0</v>
      </c>
      <c r="AC14" s="70">
        <f t="shared" si="21"/>
        <v>0</v>
      </c>
      <c r="AD14" s="70">
        <f t="shared" si="22"/>
        <v>0</v>
      </c>
    </row>
    <row r="15" spans="1:30" ht="15" customHeight="1">
      <c r="A15" s="6">
        <v>4</v>
      </c>
      <c r="B15" s="7">
        <v>14439948</v>
      </c>
      <c r="C15" s="7" t="s">
        <v>10</v>
      </c>
      <c r="D15" s="7">
        <v>15419628</v>
      </c>
      <c r="E15" s="5">
        <f t="shared" si="0"/>
        <v>979680</v>
      </c>
      <c r="F15" s="59">
        <f t="shared" si="7"/>
        <v>1371552</v>
      </c>
      <c r="G15" s="5">
        <v>2162212</v>
      </c>
      <c r="H15" s="5">
        <v>2269787</v>
      </c>
      <c r="I15" s="5">
        <f t="shared" si="1"/>
        <v>107575</v>
      </c>
      <c r="J15" s="5">
        <f t="shared" si="2"/>
        <v>489840</v>
      </c>
      <c r="K15" s="5">
        <f t="shared" si="3"/>
        <v>489840</v>
      </c>
      <c r="L15" s="17">
        <v>191</v>
      </c>
      <c r="M15" s="5">
        <f t="shared" si="8"/>
        <v>685776</v>
      </c>
      <c r="N15" s="5">
        <f t="shared" si="9"/>
        <v>114296</v>
      </c>
      <c r="O15" s="5">
        <f t="shared" si="10"/>
        <v>628628</v>
      </c>
      <c r="P15" s="5">
        <f t="shared" si="11"/>
        <v>150605</v>
      </c>
      <c r="Q15" s="5">
        <f t="shared" si="12"/>
        <v>23170</v>
      </c>
      <c r="R15" s="5">
        <f t="shared" si="13"/>
        <v>127435</v>
      </c>
      <c r="S15" s="5">
        <f t="shared" si="14"/>
        <v>21830536</v>
      </c>
      <c r="T15" s="5">
        <f t="shared" si="15"/>
        <v>4425470</v>
      </c>
      <c r="U15" s="70">
        <f t="shared" si="4"/>
        <v>2399647.6</v>
      </c>
      <c r="V15" s="5">
        <f t="shared" si="16"/>
        <v>120067948</v>
      </c>
      <c r="W15" s="16">
        <f t="shared" si="17"/>
        <v>24340085</v>
      </c>
      <c r="X15" s="70">
        <f t="shared" si="5"/>
        <v>13198061.8</v>
      </c>
      <c r="Y15" s="5">
        <f t="shared" si="18"/>
        <v>43661072</v>
      </c>
      <c r="Z15" s="5">
        <f t="shared" si="19"/>
        <v>4425470</v>
      </c>
      <c r="AA15" s="70">
        <f t="shared" si="6"/>
        <v>2399647.6</v>
      </c>
      <c r="AB15" s="5">
        <f t="shared" si="20"/>
        <v>283796968</v>
      </c>
      <c r="AC15" s="70">
        <f t="shared" si="21"/>
        <v>31162684.583333332</v>
      </c>
      <c r="AD15" s="70">
        <f t="shared" si="22"/>
        <v>15597709.400000002</v>
      </c>
    </row>
    <row r="16" spans="1:30" ht="12.75">
      <c r="A16" s="6">
        <v>5</v>
      </c>
      <c r="B16" s="7">
        <v>15419628</v>
      </c>
      <c r="C16" s="7" t="s">
        <v>10</v>
      </c>
      <c r="D16" s="7">
        <v>15419628</v>
      </c>
      <c r="E16" s="5">
        <f t="shared" si="0"/>
        <v>0</v>
      </c>
      <c r="F16" s="59">
        <f t="shared" si="7"/>
        <v>0</v>
      </c>
      <c r="G16" s="5">
        <v>2269787</v>
      </c>
      <c r="H16" s="5">
        <v>2269787</v>
      </c>
      <c r="I16" s="5">
        <f t="shared" si="1"/>
        <v>0</v>
      </c>
      <c r="J16" s="5">
        <f t="shared" si="2"/>
        <v>0</v>
      </c>
      <c r="K16" s="5">
        <f t="shared" si="3"/>
        <v>0</v>
      </c>
      <c r="L16" s="17">
        <v>602</v>
      </c>
      <c r="M16" s="5">
        <f t="shared" si="8"/>
        <v>0</v>
      </c>
      <c r="N16" s="5">
        <f t="shared" si="9"/>
        <v>0</v>
      </c>
      <c r="O16" s="5">
        <f t="shared" si="10"/>
        <v>0</v>
      </c>
      <c r="P16" s="5">
        <f t="shared" si="11"/>
        <v>0</v>
      </c>
      <c r="Q16" s="5">
        <f t="shared" si="12"/>
        <v>0</v>
      </c>
      <c r="R16" s="5">
        <f t="shared" si="13"/>
        <v>0</v>
      </c>
      <c r="S16" s="5">
        <f t="shared" si="14"/>
        <v>0</v>
      </c>
      <c r="T16" s="5">
        <f t="shared" si="15"/>
        <v>0</v>
      </c>
      <c r="U16" s="70">
        <f t="shared" si="4"/>
        <v>0</v>
      </c>
      <c r="V16" s="5">
        <f t="shared" si="16"/>
        <v>0</v>
      </c>
      <c r="W16" s="16">
        <f t="shared" si="17"/>
        <v>0</v>
      </c>
      <c r="X16" s="70">
        <f t="shared" si="5"/>
        <v>0</v>
      </c>
      <c r="Y16" s="5">
        <f t="shared" si="18"/>
        <v>0</v>
      </c>
      <c r="Z16" s="5">
        <f t="shared" si="19"/>
        <v>0</v>
      </c>
      <c r="AA16" s="70">
        <f t="shared" si="6"/>
        <v>0</v>
      </c>
      <c r="AB16" s="5">
        <f t="shared" si="20"/>
        <v>0</v>
      </c>
      <c r="AC16" s="70">
        <f t="shared" si="21"/>
        <v>0</v>
      </c>
      <c r="AD16" s="70">
        <f t="shared" si="22"/>
        <v>0</v>
      </c>
    </row>
    <row r="17" spans="1:30" ht="12.75">
      <c r="A17" s="6">
        <v>5</v>
      </c>
      <c r="B17" s="7">
        <v>15419628</v>
      </c>
      <c r="C17" s="7" t="s">
        <v>11</v>
      </c>
      <c r="D17" s="7">
        <v>16096380</v>
      </c>
      <c r="E17" s="5">
        <f t="shared" si="0"/>
        <v>676752</v>
      </c>
      <c r="F17" s="59">
        <f t="shared" si="7"/>
        <v>947452.8</v>
      </c>
      <c r="G17" s="5">
        <v>2269787</v>
      </c>
      <c r="H17" s="5">
        <v>2350510</v>
      </c>
      <c r="I17" s="5">
        <f t="shared" si="1"/>
        <v>80723</v>
      </c>
      <c r="J17" s="5">
        <f t="shared" si="2"/>
        <v>338376</v>
      </c>
      <c r="K17" s="5">
        <f t="shared" si="3"/>
        <v>338376</v>
      </c>
      <c r="L17" s="17">
        <v>57</v>
      </c>
      <c r="M17" s="5">
        <f t="shared" si="8"/>
        <v>473726.4</v>
      </c>
      <c r="N17" s="5">
        <f t="shared" si="9"/>
        <v>78954.40000000001</v>
      </c>
      <c r="O17" s="5">
        <f t="shared" si="10"/>
        <v>434249.20000000007</v>
      </c>
      <c r="P17" s="5">
        <f t="shared" si="11"/>
        <v>113012.2</v>
      </c>
      <c r="Q17" s="5">
        <f t="shared" si="12"/>
        <v>17386.492307692308</v>
      </c>
      <c r="R17" s="5">
        <f t="shared" si="13"/>
        <v>95625.7076923077</v>
      </c>
      <c r="S17" s="5">
        <f t="shared" si="14"/>
        <v>4500400.800000001</v>
      </c>
      <c r="T17" s="5">
        <f t="shared" si="15"/>
        <v>991030.0615384616</v>
      </c>
      <c r="U17" s="70">
        <f t="shared" si="4"/>
        <v>39261.600000000006</v>
      </c>
      <c r="V17" s="5">
        <f t="shared" si="16"/>
        <v>24752204.400000002</v>
      </c>
      <c r="W17" s="16">
        <f t="shared" si="17"/>
        <v>5450665.338461539</v>
      </c>
      <c r="X17" s="70">
        <f>H35*L17</f>
        <v>215938.80000000002</v>
      </c>
      <c r="Y17" s="5">
        <f t="shared" si="18"/>
        <v>9000801.600000001</v>
      </c>
      <c r="Z17" s="5">
        <f t="shared" si="19"/>
        <v>991030.0615384616</v>
      </c>
      <c r="AA17" s="70">
        <f t="shared" si="6"/>
        <v>39261.600000000006</v>
      </c>
      <c r="AB17" s="5">
        <f t="shared" si="20"/>
        <v>58505210.400000006</v>
      </c>
      <c r="AC17" s="70">
        <f t="shared" si="21"/>
        <v>6978503.349999999</v>
      </c>
      <c r="AD17" s="70">
        <f t="shared" si="22"/>
        <v>255200.40000000005</v>
      </c>
    </row>
    <row r="18" spans="1:30" ht="12.75">
      <c r="A18" s="6">
        <v>5</v>
      </c>
      <c r="B18" s="7">
        <v>15419628</v>
      </c>
      <c r="C18" s="7" t="s">
        <v>11</v>
      </c>
      <c r="D18" s="7">
        <v>16096380</v>
      </c>
      <c r="E18" s="5">
        <f t="shared" si="0"/>
        <v>676752</v>
      </c>
      <c r="F18" s="59">
        <f t="shared" si="7"/>
        <v>947452.8</v>
      </c>
      <c r="G18" s="5">
        <v>1761344</v>
      </c>
      <c r="H18" s="5">
        <v>1806324</v>
      </c>
      <c r="I18" s="5">
        <f t="shared" si="1"/>
        <v>44980</v>
      </c>
      <c r="J18" s="5">
        <f t="shared" si="2"/>
        <v>338376</v>
      </c>
      <c r="K18" s="5">
        <f t="shared" si="3"/>
        <v>338376</v>
      </c>
      <c r="L18" s="17">
        <v>73</v>
      </c>
      <c r="M18" s="5">
        <f t="shared" si="8"/>
        <v>473726.4</v>
      </c>
      <c r="N18" s="5">
        <f t="shared" si="9"/>
        <v>78954.40000000001</v>
      </c>
      <c r="O18" s="5">
        <f t="shared" si="10"/>
        <v>434249.20000000007</v>
      </c>
      <c r="P18" s="5">
        <f t="shared" si="11"/>
        <v>62972</v>
      </c>
      <c r="Q18" s="5">
        <f t="shared" si="12"/>
        <v>9688</v>
      </c>
      <c r="R18" s="5">
        <f t="shared" si="13"/>
        <v>53284</v>
      </c>
      <c r="S18" s="5">
        <f t="shared" si="14"/>
        <v>5763671.2</v>
      </c>
      <c r="T18" s="5">
        <f t="shared" si="15"/>
        <v>707224</v>
      </c>
      <c r="U18" s="70">
        <f t="shared" si="4"/>
        <v>50282.4</v>
      </c>
      <c r="V18" s="5">
        <f t="shared" si="16"/>
        <v>31700191.600000005</v>
      </c>
      <c r="W18" s="16">
        <f t="shared" si="17"/>
        <v>3889732</v>
      </c>
      <c r="X18" s="70">
        <f>H36*L18</f>
        <v>6042575</v>
      </c>
      <c r="Y18" s="5">
        <f t="shared" si="18"/>
        <v>11527342.4</v>
      </c>
      <c r="Z18" s="5">
        <f t="shared" si="19"/>
        <v>707224</v>
      </c>
      <c r="AA18" s="70">
        <f t="shared" si="6"/>
        <v>50282.4</v>
      </c>
      <c r="AB18" s="5">
        <f t="shared" si="20"/>
        <v>74927725.60000001</v>
      </c>
      <c r="AC18" s="70">
        <f t="shared" si="21"/>
        <v>4980035.666666667</v>
      </c>
      <c r="AD18" s="70">
        <f t="shared" si="22"/>
        <v>326835.60000000003</v>
      </c>
    </row>
    <row r="19" spans="1:30" ht="12.75">
      <c r="A19" s="6">
        <v>5</v>
      </c>
      <c r="B19" s="7">
        <v>15419628</v>
      </c>
      <c r="C19" s="7" t="s">
        <v>121</v>
      </c>
      <c r="D19" s="7">
        <v>16773132</v>
      </c>
      <c r="E19" s="5">
        <f t="shared" si="0"/>
        <v>1353504</v>
      </c>
      <c r="F19" s="59">
        <f t="shared" si="7"/>
        <v>1894905.6</v>
      </c>
      <c r="G19" s="5">
        <v>2269787</v>
      </c>
      <c r="H19" s="5">
        <v>2431234</v>
      </c>
      <c r="I19" s="5">
        <f t="shared" si="1"/>
        <v>161447</v>
      </c>
      <c r="J19" s="5">
        <f t="shared" si="2"/>
        <v>676752</v>
      </c>
      <c r="K19" s="5">
        <f t="shared" si="3"/>
        <v>676752</v>
      </c>
      <c r="L19" s="17">
        <v>4</v>
      </c>
      <c r="M19" s="5">
        <f t="shared" si="8"/>
        <v>947452.8</v>
      </c>
      <c r="N19" s="5">
        <f t="shared" si="9"/>
        <v>157908.80000000002</v>
      </c>
      <c r="O19" s="5">
        <f t="shared" si="10"/>
        <v>868498.4000000001</v>
      </c>
      <c r="P19" s="5">
        <f t="shared" si="11"/>
        <v>226025.8</v>
      </c>
      <c r="Q19" s="5">
        <f t="shared" si="12"/>
        <v>34773.2</v>
      </c>
      <c r="R19" s="5">
        <f t="shared" si="13"/>
        <v>191252.59999999998</v>
      </c>
      <c r="S19" s="5">
        <f t="shared" si="14"/>
        <v>631635.2000000001</v>
      </c>
      <c r="T19" s="5">
        <f t="shared" si="15"/>
        <v>139092.8</v>
      </c>
      <c r="U19" s="70">
        <f t="shared" si="4"/>
        <v>60200</v>
      </c>
      <c r="V19" s="5">
        <f t="shared" si="16"/>
        <v>3473993.6000000006</v>
      </c>
      <c r="W19" s="16">
        <f t="shared" si="17"/>
        <v>765010.3999999999</v>
      </c>
      <c r="X19" s="70">
        <f>H36*L19</f>
        <v>331100</v>
      </c>
      <c r="Y19" s="5">
        <f t="shared" si="18"/>
        <v>1263270.4000000001</v>
      </c>
      <c r="Z19" s="5">
        <f t="shared" si="19"/>
        <v>139092.8</v>
      </c>
      <c r="AA19" s="70">
        <f t="shared" si="6"/>
        <v>60200</v>
      </c>
      <c r="AB19" s="5">
        <f t="shared" si="20"/>
        <v>8211257.600000001</v>
      </c>
      <c r="AC19" s="70">
        <f t="shared" si="21"/>
        <v>979445.1333333333</v>
      </c>
      <c r="AD19" s="70">
        <f t="shared" si="22"/>
        <v>391300</v>
      </c>
    </row>
    <row r="20" spans="1:30" ht="12.75">
      <c r="A20" s="6">
        <v>6</v>
      </c>
      <c r="B20" s="7">
        <v>16773132</v>
      </c>
      <c r="C20" s="7" t="s">
        <v>121</v>
      </c>
      <c r="D20" s="7">
        <v>16773132</v>
      </c>
      <c r="E20" s="5">
        <f t="shared" si="0"/>
        <v>0</v>
      </c>
      <c r="F20" s="59">
        <f t="shared" si="7"/>
        <v>0</v>
      </c>
      <c r="G20" s="5">
        <v>2431234</v>
      </c>
      <c r="H20" s="5">
        <v>2431234</v>
      </c>
      <c r="I20" s="5">
        <f t="shared" si="1"/>
        <v>0</v>
      </c>
      <c r="J20" s="5">
        <f t="shared" si="2"/>
        <v>0</v>
      </c>
      <c r="K20" s="5">
        <f t="shared" si="3"/>
        <v>0</v>
      </c>
      <c r="L20" s="17">
        <v>159</v>
      </c>
      <c r="M20" s="5">
        <f t="shared" si="8"/>
        <v>0</v>
      </c>
      <c r="N20" s="5">
        <f t="shared" si="9"/>
        <v>0</v>
      </c>
      <c r="O20" s="5">
        <f t="shared" si="10"/>
        <v>0</v>
      </c>
      <c r="P20" s="5">
        <f t="shared" si="11"/>
        <v>0</v>
      </c>
      <c r="Q20" s="5">
        <f t="shared" si="12"/>
        <v>0</v>
      </c>
      <c r="R20" s="5">
        <f t="shared" si="13"/>
        <v>0</v>
      </c>
      <c r="S20" s="5">
        <f t="shared" si="14"/>
        <v>0</v>
      </c>
      <c r="T20" s="5">
        <f t="shared" si="15"/>
        <v>0</v>
      </c>
      <c r="U20" s="70">
        <f t="shared" si="4"/>
        <v>0</v>
      </c>
      <c r="V20" s="5">
        <f t="shared" si="16"/>
        <v>0</v>
      </c>
      <c r="W20" s="16">
        <f t="shared" si="17"/>
        <v>0</v>
      </c>
      <c r="X20" s="70">
        <f>H37*L20</f>
        <v>0</v>
      </c>
      <c r="Y20" s="5">
        <f t="shared" si="18"/>
        <v>0</v>
      </c>
      <c r="Z20" s="5">
        <f t="shared" si="19"/>
        <v>0</v>
      </c>
      <c r="AA20" s="70">
        <f t="shared" si="6"/>
        <v>0</v>
      </c>
      <c r="AB20" s="5">
        <f t="shared" si="20"/>
        <v>0</v>
      </c>
      <c r="AC20" s="70">
        <f t="shared" si="21"/>
        <v>0</v>
      </c>
      <c r="AD20" s="70">
        <f t="shared" si="22"/>
        <v>0</v>
      </c>
    </row>
    <row r="21" spans="1:30" ht="12.75">
      <c r="A21" s="6">
        <v>7</v>
      </c>
      <c r="B21" s="7">
        <v>19979880</v>
      </c>
      <c r="C21" s="7" t="s">
        <v>13</v>
      </c>
      <c r="D21" s="7">
        <v>19979880</v>
      </c>
      <c r="E21" s="5">
        <f t="shared" si="0"/>
        <v>0</v>
      </c>
      <c r="F21" s="59">
        <f t="shared" si="7"/>
        <v>0</v>
      </c>
      <c r="G21" s="5">
        <v>2732834</v>
      </c>
      <c r="H21" s="5">
        <v>2732834</v>
      </c>
      <c r="I21" s="5">
        <f t="shared" si="1"/>
        <v>0</v>
      </c>
      <c r="J21" s="5">
        <f t="shared" si="2"/>
        <v>0</v>
      </c>
      <c r="K21" s="5">
        <f t="shared" si="3"/>
        <v>0</v>
      </c>
      <c r="L21" s="17">
        <v>758</v>
      </c>
      <c r="M21" s="5">
        <f t="shared" si="8"/>
        <v>0</v>
      </c>
      <c r="N21" s="5">
        <f t="shared" si="9"/>
        <v>0</v>
      </c>
      <c r="O21" s="5">
        <f t="shared" si="10"/>
        <v>0</v>
      </c>
      <c r="P21" s="5">
        <f t="shared" si="11"/>
        <v>0</v>
      </c>
      <c r="Q21" s="5">
        <f t="shared" si="12"/>
        <v>0</v>
      </c>
      <c r="R21" s="5">
        <f t="shared" si="13"/>
        <v>0</v>
      </c>
      <c r="S21" s="5">
        <f t="shared" si="14"/>
        <v>0</v>
      </c>
      <c r="T21" s="5">
        <f t="shared" si="15"/>
        <v>0</v>
      </c>
      <c r="U21" s="70">
        <f t="shared" si="4"/>
        <v>0</v>
      </c>
      <c r="V21" s="5">
        <f t="shared" si="16"/>
        <v>0</v>
      </c>
      <c r="W21" s="16">
        <f t="shared" si="17"/>
        <v>0</v>
      </c>
      <c r="X21" s="70">
        <f>H38*L21</f>
        <v>0</v>
      </c>
      <c r="Y21" s="5">
        <f t="shared" si="18"/>
        <v>0</v>
      </c>
      <c r="Z21" s="5">
        <f t="shared" si="19"/>
        <v>0</v>
      </c>
      <c r="AA21" s="70">
        <f t="shared" si="6"/>
        <v>0</v>
      </c>
      <c r="AB21" s="5">
        <f t="shared" si="20"/>
        <v>0</v>
      </c>
      <c r="AC21" s="70">
        <f t="shared" si="21"/>
        <v>0</v>
      </c>
      <c r="AD21" s="70">
        <f t="shared" si="22"/>
        <v>0</v>
      </c>
    </row>
    <row r="22" spans="1:30" ht="12.75">
      <c r="A22" s="6">
        <v>8</v>
      </c>
      <c r="B22" s="7">
        <v>23001396</v>
      </c>
      <c r="C22" s="6" t="s">
        <v>127</v>
      </c>
      <c r="D22" s="7">
        <v>24455000</v>
      </c>
      <c r="E22" s="5">
        <f t="shared" si="0"/>
        <v>1453604</v>
      </c>
      <c r="F22" s="59">
        <f t="shared" si="7"/>
        <v>2035045.6</v>
      </c>
      <c r="G22" s="5">
        <v>3077724</v>
      </c>
      <c r="H22" s="5">
        <v>3077724</v>
      </c>
      <c r="I22" s="5">
        <f t="shared" si="1"/>
        <v>0</v>
      </c>
      <c r="J22" s="5">
        <f t="shared" si="2"/>
        <v>726802</v>
      </c>
      <c r="K22" s="5">
        <f t="shared" si="3"/>
        <v>726802</v>
      </c>
      <c r="L22" s="17">
        <v>228</v>
      </c>
      <c r="M22" s="5">
        <f t="shared" si="8"/>
        <v>1017522.8</v>
      </c>
      <c r="N22" s="5">
        <f t="shared" si="9"/>
        <v>169587.13333333333</v>
      </c>
      <c r="O22" s="5">
        <f t="shared" si="10"/>
        <v>932729.2333333333</v>
      </c>
      <c r="P22" s="5">
        <f t="shared" si="11"/>
        <v>0</v>
      </c>
      <c r="Q22" s="5">
        <f t="shared" si="12"/>
        <v>0</v>
      </c>
      <c r="R22" s="5">
        <f t="shared" si="13"/>
        <v>0</v>
      </c>
      <c r="S22" s="5">
        <f t="shared" si="14"/>
        <v>38665866.4</v>
      </c>
      <c r="T22" s="5">
        <f t="shared" si="15"/>
        <v>0</v>
      </c>
      <c r="U22" s="70">
        <f t="shared" si="4"/>
        <v>6684686.399999999</v>
      </c>
      <c r="V22" s="5">
        <f t="shared" si="16"/>
        <v>212662265.2</v>
      </c>
      <c r="W22" s="16">
        <f t="shared" si="17"/>
        <v>0</v>
      </c>
      <c r="X22" s="70">
        <f>H39*L22</f>
        <v>36765775.199999996</v>
      </c>
      <c r="Y22" s="5">
        <f t="shared" si="18"/>
        <v>77331732.8</v>
      </c>
      <c r="Z22" s="5">
        <f t="shared" si="19"/>
        <v>0</v>
      </c>
      <c r="AA22" s="70">
        <f t="shared" si="6"/>
        <v>6684686.399999999</v>
      </c>
      <c r="AB22" s="5">
        <f t="shared" si="20"/>
        <v>502656263.2</v>
      </c>
      <c r="AC22" s="70">
        <f t="shared" si="21"/>
        <v>0</v>
      </c>
      <c r="AD22" s="70">
        <f t="shared" si="22"/>
        <v>43450461.599999994</v>
      </c>
    </row>
    <row r="23" spans="1:31" ht="12.75">
      <c r="A23" s="1"/>
      <c r="B23" s="8"/>
      <c r="C23" s="9"/>
      <c r="D23" s="9"/>
      <c r="E23" s="9"/>
      <c r="F23" s="9"/>
      <c r="H23" s="1"/>
      <c r="L23" s="11">
        <f>SUM(L10:L22)</f>
        <v>2495</v>
      </c>
      <c r="M23" s="11"/>
      <c r="N23" s="11"/>
      <c r="O23" s="11"/>
      <c r="P23" s="11"/>
      <c r="Q23" s="11"/>
      <c r="R23" s="11"/>
      <c r="S23" s="5">
        <f aca="true" t="shared" si="23" ref="S23:AC23">SUM(S10:S22)</f>
        <v>71849384.6</v>
      </c>
      <c r="T23" s="49">
        <f t="shared" si="23"/>
        <v>6343773.261538462</v>
      </c>
      <c r="U23" s="74">
        <f>SUM(U10:U22)</f>
        <v>9279611.6</v>
      </c>
      <c r="V23" s="5">
        <f>SUM(V10:V22)</f>
        <v>395171615.29999995</v>
      </c>
      <c r="W23" s="16">
        <f>SUM(W10:W22)</f>
        <v>34890752.938461535</v>
      </c>
      <c r="X23" s="5">
        <f>SUM(X10:X22)</f>
        <v>56803885.599999994</v>
      </c>
      <c r="Y23" s="5">
        <f t="shared" si="23"/>
        <v>143698769.2</v>
      </c>
      <c r="Z23" s="5">
        <f t="shared" si="23"/>
        <v>6343773.261538462</v>
      </c>
      <c r="AA23" s="5">
        <f>SUM(AA10:AA22)</f>
        <v>9279611.6</v>
      </c>
      <c r="AB23" s="70">
        <f t="shared" si="23"/>
        <v>934041999.8</v>
      </c>
      <c r="AC23" s="5">
        <f t="shared" si="23"/>
        <v>44670736.71666666</v>
      </c>
      <c r="AD23" s="5">
        <f>SUM(AD10:AD22)</f>
        <v>60317475.4</v>
      </c>
      <c r="AE23" s="75"/>
    </row>
    <row r="24" spans="1:30" ht="12.75">
      <c r="A24" s="1"/>
      <c r="B24" s="1"/>
      <c r="C24" s="10"/>
      <c r="D24" s="1"/>
      <c r="E24" s="8"/>
      <c r="F24" s="8"/>
      <c r="H24" s="1"/>
      <c r="J24" s="11"/>
      <c r="K24" s="11"/>
      <c r="T24" s="81" t="s">
        <v>94</v>
      </c>
      <c r="U24" s="82">
        <f>SUM(S23+T23+U23)</f>
        <v>87472769.46153845</v>
      </c>
      <c r="X24" s="78"/>
      <c r="Z24" s="79" t="s">
        <v>92</v>
      </c>
      <c r="AA24" s="80">
        <f>V23+W23+X23+Y23+Z23+AA23</f>
        <v>646188407.9</v>
      </c>
      <c r="AB24" s="75"/>
      <c r="AC24" s="79" t="s">
        <v>93</v>
      </c>
      <c r="AD24" s="80">
        <f>AB23+AC23+AD23</f>
        <v>1039030211.9166666</v>
      </c>
    </row>
    <row r="25" spans="1:26" ht="12.75">
      <c r="A25" s="1"/>
      <c r="B25" s="1"/>
      <c r="C25" s="10" t="s">
        <v>23</v>
      </c>
      <c r="D25" s="1"/>
      <c r="E25" s="8"/>
      <c r="F25" s="8"/>
      <c r="J25" s="8"/>
      <c r="K25" s="8"/>
      <c r="X25" s="11"/>
      <c r="Y25" s="78"/>
      <c r="Z25" s="78"/>
    </row>
    <row r="26" spans="1:21" ht="12.75">
      <c r="A26" s="11"/>
      <c r="B26" s="12"/>
      <c r="C26" s="11" t="s">
        <v>130</v>
      </c>
      <c r="D26" s="8"/>
      <c r="G26" s="1" t="s">
        <v>128</v>
      </c>
      <c r="H26" t="s">
        <v>132</v>
      </c>
      <c r="J26" s="8"/>
      <c r="K26" s="8"/>
      <c r="O26" s="1"/>
      <c r="P26" s="1"/>
      <c r="Q26" s="1"/>
      <c r="R26" s="1"/>
      <c r="S26" s="1"/>
      <c r="U26" s="1"/>
    </row>
    <row r="27" spans="1:12" ht="12.75">
      <c r="A27" s="6">
        <v>1</v>
      </c>
      <c r="B27" s="7">
        <v>12085920</v>
      </c>
      <c r="C27" s="7" t="s">
        <v>126</v>
      </c>
      <c r="D27" s="7">
        <v>12137844</v>
      </c>
      <c r="E27" s="1">
        <f>D27-B27</f>
        <v>51924</v>
      </c>
      <c r="F27" s="5">
        <f>(E27+(E27*40%))</f>
        <v>72693.6</v>
      </c>
      <c r="G27" s="5">
        <f>(F27/12)*2</f>
        <v>12115.6</v>
      </c>
      <c r="H27" s="5">
        <f>(F27/12)*11</f>
        <v>66635.8</v>
      </c>
      <c r="J27" s="11"/>
      <c r="K27" s="11"/>
      <c r="L27" s="1"/>
    </row>
    <row r="28" spans="1:30" ht="12.75">
      <c r="A28" s="6">
        <v>2</v>
      </c>
      <c r="B28" s="7">
        <v>12085920</v>
      </c>
      <c r="C28" s="7" t="s">
        <v>126</v>
      </c>
      <c r="D28" s="7">
        <v>12137844</v>
      </c>
      <c r="E28" s="1">
        <f aca="true" t="shared" si="24" ref="E28:E39">D28-B28</f>
        <v>51924</v>
      </c>
      <c r="F28" s="5">
        <f aca="true" t="shared" si="25" ref="F28:F39">(E28+(E28*40%))</f>
        <v>72693.6</v>
      </c>
      <c r="G28" s="5">
        <f aca="true" t="shared" si="26" ref="G28:G39">(F28/12)*2</f>
        <v>12115.6</v>
      </c>
      <c r="H28" s="5">
        <f aca="true" t="shared" si="27" ref="H28:H39">(F28/12)*11</f>
        <v>66635.8</v>
      </c>
      <c r="J28" s="73"/>
      <c r="S28" s="72" t="s">
        <v>101</v>
      </c>
      <c r="T28" s="72" t="s">
        <v>101</v>
      </c>
      <c r="U28" s="72" t="s">
        <v>101</v>
      </c>
      <c r="V28" s="72" t="s">
        <v>101</v>
      </c>
      <c r="W28" s="72" t="s">
        <v>101</v>
      </c>
      <c r="X28" s="72" t="s">
        <v>101</v>
      </c>
      <c r="Y28" s="72" t="s">
        <v>101</v>
      </c>
      <c r="Z28" s="72" t="s">
        <v>101</v>
      </c>
      <c r="AA28" s="72" t="s">
        <v>101</v>
      </c>
      <c r="AB28" s="72" t="s">
        <v>101</v>
      </c>
      <c r="AC28" s="72" t="s">
        <v>101</v>
      </c>
      <c r="AD28" s="72" t="s">
        <v>101</v>
      </c>
    </row>
    <row r="29" spans="1:10" ht="12.75">
      <c r="A29" s="6">
        <v>3</v>
      </c>
      <c r="B29" s="7">
        <v>12137844</v>
      </c>
      <c r="C29" s="7" t="s">
        <v>126</v>
      </c>
      <c r="D29" s="7">
        <v>12137844</v>
      </c>
      <c r="E29" s="1">
        <f t="shared" si="24"/>
        <v>0</v>
      </c>
      <c r="F29" s="5">
        <f t="shared" si="25"/>
        <v>0</v>
      </c>
      <c r="G29" s="5">
        <f t="shared" si="26"/>
        <v>0</v>
      </c>
      <c r="H29" s="5">
        <f t="shared" si="27"/>
        <v>0</v>
      </c>
      <c r="J29" s="1"/>
    </row>
    <row r="30" spans="1:10" ht="12.75">
      <c r="A30" s="6">
        <v>3</v>
      </c>
      <c r="B30" s="7">
        <v>12137844</v>
      </c>
      <c r="C30" s="7" t="s">
        <v>9</v>
      </c>
      <c r="D30" s="7">
        <v>12229140</v>
      </c>
      <c r="E30" s="1">
        <f t="shared" si="24"/>
        <v>91296</v>
      </c>
      <c r="F30" s="5">
        <f t="shared" si="25"/>
        <v>127814.4</v>
      </c>
      <c r="G30" s="5">
        <f t="shared" si="26"/>
        <v>21302.399999999998</v>
      </c>
      <c r="H30" s="5">
        <f t="shared" si="27"/>
        <v>117163.19999999998</v>
      </c>
      <c r="J30" s="1"/>
    </row>
    <row r="31" spans="1:10" ht="12.75">
      <c r="A31" s="6">
        <v>4</v>
      </c>
      <c r="B31" s="7">
        <v>12229140</v>
      </c>
      <c r="C31" s="7" t="s">
        <v>9</v>
      </c>
      <c r="D31" s="7">
        <v>12229140</v>
      </c>
      <c r="E31" s="1">
        <f t="shared" si="24"/>
        <v>0</v>
      </c>
      <c r="F31" s="5">
        <f t="shared" si="25"/>
        <v>0</v>
      </c>
      <c r="G31" s="5">
        <f t="shared" si="26"/>
        <v>0</v>
      </c>
      <c r="H31" s="5">
        <f t="shared" si="27"/>
        <v>0</v>
      </c>
      <c r="J31" s="1"/>
    </row>
    <row r="32" spans="1:10" ht="12.75">
      <c r="A32" s="6">
        <v>4</v>
      </c>
      <c r="B32" s="7">
        <v>12229140</v>
      </c>
      <c r="C32" s="7" t="s">
        <v>10</v>
      </c>
      <c r="D32" s="7">
        <v>12282984</v>
      </c>
      <c r="E32" s="1">
        <f t="shared" si="24"/>
        <v>53844</v>
      </c>
      <c r="F32" s="5">
        <f t="shared" si="25"/>
        <v>75381.6</v>
      </c>
      <c r="G32" s="5">
        <f t="shared" si="26"/>
        <v>12563.6</v>
      </c>
      <c r="H32" s="5">
        <f t="shared" si="27"/>
        <v>69099.8</v>
      </c>
      <c r="J32" s="1"/>
    </row>
    <row r="33" spans="1:10" ht="12.75">
      <c r="A33" s="89">
        <v>5</v>
      </c>
      <c r="B33" s="7">
        <v>12282984</v>
      </c>
      <c r="C33" s="7" t="s">
        <v>10</v>
      </c>
      <c r="D33" s="7">
        <v>12282984</v>
      </c>
      <c r="E33" s="1">
        <f t="shared" si="24"/>
        <v>0</v>
      </c>
      <c r="F33" s="5">
        <f t="shared" si="25"/>
        <v>0</v>
      </c>
      <c r="G33" s="5">
        <f t="shared" si="26"/>
        <v>0</v>
      </c>
      <c r="H33" s="5">
        <f t="shared" si="27"/>
        <v>0</v>
      </c>
      <c r="I33" t="s">
        <v>154</v>
      </c>
      <c r="J33" s="1"/>
    </row>
    <row r="34" spans="1:10" ht="12.75">
      <c r="A34" s="89">
        <v>5</v>
      </c>
      <c r="B34" s="7">
        <v>12282984</v>
      </c>
      <c r="C34" s="7" t="s">
        <v>11</v>
      </c>
      <c r="D34" s="7">
        <v>12285936</v>
      </c>
      <c r="E34" s="1">
        <f t="shared" si="24"/>
        <v>2952</v>
      </c>
      <c r="F34" s="5">
        <f t="shared" si="25"/>
        <v>4132.8</v>
      </c>
      <c r="G34" s="5">
        <f t="shared" si="26"/>
        <v>688.8000000000001</v>
      </c>
      <c r="H34" s="5">
        <f t="shared" si="27"/>
        <v>3788.4000000000005</v>
      </c>
      <c r="I34" t="s">
        <v>155</v>
      </c>
      <c r="J34" s="1"/>
    </row>
    <row r="35" spans="1:10" ht="12.75">
      <c r="A35" s="6">
        <v>5</v>
      </c>
      <c r="B35" s="7">
        <v>12282984</v>
      </c>
      <c r="C35" s="7" t="s">
        <v>11</v>
      </c>
      <c r="D35" s="7">
        <v>12285936</v>
      </c>
      <c r="E35" s="1">
        <f t="shared" si="24"/>
        <v>2952</v>
      </c>
      <c r="F35" s="5">
        <f t="shared" si="25"/>
        <v>4132.8</v>
      </c>
      <c r="G35" s="5">
        <f t="shared" si="26"/>
        <v>688.8000000000001</v>
      </c>
      <c r="H35" s="5">
        <f t="shared" si="27"/>
        <v>3788.4000000000005</v>
      </c>
      <c r="I35" t="s">
        <v>156</v>
      </c>
      <c r="J35" s="1"/>
    </row>
    <row r="36" spans="1:10" ht="12.75">
      <c r="A36" s="6">
        <v>5</v>
      </c>
      <c r="B36" s="7">
        <v>12282984</v>
      </c>
      <c r="C36" s="7" t="s">
        <v>121</v>
      </c>
      <c r="D36" s="7">
        <v>12347484</v>
      </c>
      <c r="E36" s="1">
        <f t="shared" si="24"/>
        <v>64500</v>
      </c>
      <c r="F36" s="5">
        <f t="shared" si="25"/>
        <v>90300</v>
      </c>
      <c r="G36" s="5">
        <f t="shared" si="26"/>
        <v>15050</v>
      </c>
      <c r="H36" s="5">
        <f t="shared" si="27"/>
        <v>82775</v>
      </c>
      <c r="J36" s="1"/>
    </row>
    <row r="37" spans="1:10" ht="12.75">
      <c r="A37" s="6">
        <v>6</v>
      </c>
      <c r="B37" s="7">
        <v>12347484</v>
      </c>
      <c r="C37" s="7" t="s">
        <v>121</v>
      </c>
      <c r="D37" s="7">
        <v>12347484</v>
      </c>
      <c r="E37" s="1">
        <f t="shared" si="24"/>
        <v>0</v>
      </c>
      <c r="F37" s="5">
        <f t="shared" si="25"/>
        <v>0</v>
      </c>
      <c r="G37" s="5">
        <f t="shared" si="26"/>
        <v>0</v>
      </c>
      <c r="H37" s="5">
        <f t="shared" si="27"/>
        <v>0</v>
      </c>
      <c r="J37" s="1"/>
    </row>
    <row r="38" spans="1:10" ht="12.75">
      <c r="A38" s="6">
        <v>7</v>
      </c>
      <c r="B38" s="7">
        <v>12546288</v>
      </c>
      <c r="C38" s="7" t="s">
        <v>13</v>
      </c>
      <c r="D38" s="7">
        <v>12546288</v>
      </c>
      <c r="E38" s="1">
        <f t="shared" si="24"/>
        <v>0</v>
      </c>
      <c r="F38" s="5">
        <f t="shared" si="25"/>
        <v>0</v>
      </c>
      <c r="G38" s="5">
        <f t="shared" si="26"/>
        <v>0</v>
      </c>
      <c r="H38" s="5">
        <f t="shared" si="27"/>
        <v>0</v>
      </c>
      <c r="J38" s="1"/>
    </row>
    <row r="39" spans="1:8" ht="12.75">
      <c r="A39" s="6">
        <v>8</v>
      </c>
      <c r="B39" s="7">
        <v>12720660</v>
      </c>
      <c r="C39" s="6" t="s">
        <v>127</v>
      </c>
      <c r="D39" s="7">
        <v>12846312</v>
      </c>
      <c r="E39" s="1">
        <f t="shared" si="24"/>
        <v>125652</v>
      </c>
      <c r="F39" s="5">
        <f t="shared" si="25"/>
        <v>175912.8</v>
      </c>
      <c r="G39" s="5">
        <f t="shared" si="26"/>
        <v>29318.8</v>
      </c>
      <c r="H39" s="5">
        <f t="shared" si="27"/>
        <v>161253.4</v>
      </c>
    </row>
  </sheetData>
  <mergeCells count="3">
    <mergeCell ref="A2:AD2"/>
    <mergeCell ref="A4:AD4"/>
    <mergeCell ref="A6:AD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C3:H22"/>
  <sheetViews>
    <sheetView workbookViewId="0" topLeftCell="A1">
      <selection activeCell="F36" sqref="F36"/>
    </sheetView>
  </sheetViews>
  <sheetFormatPr defaultColWidth="9.140625" defaultRowHeight="12.75"/>
  <cols>
    <col min="1" max="3" width="9.140625" style="125" customWidth="1"/>
    <col min="4" max="4" width="12.140625" style="125" customWidth="1"/>
    <col min="5" max="5" width="36.28125" style="125" customWidth="1"/>
    <col min="6" max="16384" width="9.140625" style="125" customWidth="1"/>
  </cols>
  <sheetData>
    <row r="3" ht="12.75">
      <c r="C3" s="125" t="s">
        <v>75</v>
      </c>
    </row>
    <row r="5" ht="20.25">
      <c r="D5" s="142" t="s">
        <v>17</v>
      </c>
    </row>
    <row r="8" spans="3:6" ht="12.75">
      <c r="C8" s="182" t="s">
        <v>255</v>
      </c>
      <c r="D8" s="182"/>
      <c r="E8" s="182"/>
      <c r="F8" s="182"/>
    </row>
    <row r="9" ht="12.75">
      <c r="D9" s="129"/>
    </row>
    <row r="10" spans="3:6" ht="12.75">
      <c r="C10" s="181" t="s">
        <v>259</v>
      </c>
      <c r="D10" s="181"/>
      <c r="E10" s="181"/>
      <c r="F10" s="181"/>
    </row>
    <row r="11" spans="3:6" ht="12.75">
      <c r="C11" s="181" t="s">
        <v>260</v>
      </c>
      <c r="D11" s="181"/>
      <c r="E11" s="181"/>
      <c r="F11" s="181"/>
    </row>
    <row r="12" spans="3:6" ht="12.75">
      <c r="C12" s="181" t="s">
        <v>261</v>
      </c>
      <c r="D12" s="181"/>
      <c r="E12" s="181"/>
      <c r="F12" s="181"/>
    </row>
    <row r="14" ht="13.5" thickBot="1"/>
    <row r="15" spans="4:5" ht="44.25" customHeight="1" thickBot="1">
      <c r="D15" s="126" t="s">
        <v>250</v>
      </c>
      <c r="E15" s="127" t="s">
        <v>251</v>
      </c>
    </row>
    <row r="16" spans="4:5" ht="3.75" customHeight="1">
      <c r="D16" s="139"/>
      <c r="E16" s="140"/>
    </row>
    <row r="17" spans="4:5" ht="12.75">
      <c r="D17" s="138">
        <v>1998</v>
      </c>
      <c r="E17" s="141">
        <v>60000000</v>
      </c>
    </row>
    <row r="18" spans="4:5" ht="12.75">
      <c r="D18" s="137">
        <v>1999</v>
      </c>
      <c r="E18" s="128">
        <v>60000000</v>
      </c>
    </row>
    <row r="19" spans="4:5" ht="12.75">
      <c r="D19" s="138">
        <v>2000</v>
      </c>
      <c r="E19" s="128">
        <v>60000000</v>
      </c>
    </row>
    <row r="20" spans="4:5" ht="12.75">
      <c r="D20" s="138">
        <v>2001</v>
      </c>
      <c r="E20" s="128">
        <v>60000000</v>
      </c>
    </row>
    <row r="21" spans="4:5" ht="12.75">
      <c r="D21" s="138">
        <v>2002</v>
      </c>
      <c r="E21" s="128">
        <v>60000000</v>
      </c>
    </row>
    <row r="22" ht="12.75">
      <c r="H22" s="129" t="s">
        <v>252</v>
      </c>
    </row>
  </sheetData>
  <mergeCells count="4">
    <mergeCell ref="C12:F12"/>
    <mergeCell ref="C8:F8"/>
    <mergeCell ref="C10:F10"/>
    <mergeCell ref="C11:F1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I11">
      <selection activeCell="P24" sqref="P24"/>
    </sheetView>
  </sheetViews>
  <sheetFormatPr defaultColWidth="9.140625" defaultRowHeight="12.75"/>
  <cols>
    <col min="1" max="1" width="5.421875" style="0" customWidth="1"/>
    <col min="2" max="2" width="10.7109375" style="0" customWidth="1"/>
    <col min="4" max="4" width="13.140625" style="0" customWidth="1"/>
    <col min="5" max="5" width="13.00390625" style="0" customWidth="1"/>
    <col min="7" max="7" width="13.140625" style="0" customWidth="1"/>
    <col min="8" max="8" width="14.8515625" style="0" customWidth="1"/>
    <col min="9" max="9" width="8.140625" style="0" customWidth="1"/>
    <col min="10" max="10" width="13.57421875" style="0" hidden="1" customWidth="1"/>
    <col min="11" max="11" width="11.140625" style="0" bestFit="1" customWidth="1"/>
    <col min="12" max="12" width="12.140625" style="0" customWidth="1"/>
    <col min="13" max="13" width="12.57421875" style="0" customWidth="1"/>
    <col min="14" max="14" width="13.140625" style="0" customWidth="1"/>
  </cols>
  <sheetData>
    <row r="1" ht="12.75">
      <c r="A1" s="41" t="s">
        <v>70</v>
      </c>
    </row>
    <row r="2" spans="1:14" s="53" customFormat="1" ht="20.25">
      <c r="A2" s="177" t="s">
        <v>17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</row>
    <row r="3" spans="1:11" s="53" customFormat="1" ht="9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4" s="53" customFormat="1" ht="20.25" customHeight="1">
      <c r="A4" s="177" t="s">
        <v>100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</row>
    <row r="5" spans="1:14" s="53" customFormat="1" ht="3.75" customHeight="1">
      <c r="A5" s="177"/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</row>
    <row r="6" spans="1:14" s="53" customFormat="1" ht="20.25">
      <c r="A6" s="185" t="s">
        <v>269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</row>
    <row r="7" spans="1:11" s="53" customFormat="1" ht="20.2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6" ht="12.75">
      <c r="A8" s="1"/>
      <c r="B8" s="1"/>
      <c r="C8" s="1"/>
      <c r="D8" s="1"/>
      <c r="E8" s="1"/>
      <c r="F8" s="1"/>
    </row>
    <row r="9" spans="1:14" ht="99.75" customHeight="1">
      <c r="A9" s="162" t="s">
        <v>270</v>
      </c>
      <c r="B9" s="15" t="s">
        <v>2</v>
      </c>
      <c r="C9" s="108" t="s">
        <v>183</v>
      </c>
      <c r="D9" s="15" t="s">
        <v>3</v>
      </c>
      <c r="E9" s="15" t="s">
        <v>184</v>
      </c>
      <c r="F9" s="108" t="s">
        <v>183</v>
      </c>
      <c r="G9" s="15" t="s">
        <v>181</v>
      </c>
      <c r="H9" s="58" t="s">
        <v>205</v>
      </c>
      <c r="I9" s="161" t="s">
        <v>14</v>
      </c>
      <c r="J9" s="15" t="s">
        <v>268</v>
      </c>
      <c r="K9" s="15" t="s">
        <v>272</v>
      </c>
      <c r="L9" s="15" t="s">
        <v>271</v>
      </c>
      <c r="M9" s="15" t="s">
        <v>273</v>
      </c>
      <c r="N9" s="15" t="s">
        <v>274</v>
      </c>
    </row>
    <row r="10" spans="1:14" ht="12.75">
      <c r="A10" s="6">
        <v>1</v>
      </c>
      <c r="B10" s="7">
        <v>202277</v>
      </c>
      <c r="C10" s="7">
        <f aca="true" t="shared" si="0" ref="C10:C22">B10*12</f>
        <v>2427324</v>
      </c>
      <c r="D10" s="7" t="s">
        <v>126</v>
      </c>
      <c r="E10" s="7">
        <v>224753</v>
      </c>
      <c r="F10" s="7">
        <f aca="true" t="shared" si="1" ref="F10:F22">E10*12</f>
        <v>2697036</v>
      </c>
      <c r="G10" s="5">
        <f aca="true" t="shared" si="2" ref="G10:G22">F10-C10</f>
        <v>269712</v>
      </c>
      <c r="H10" s="59">
        <f>G10+(G10*40%)</f>
        <v>377596.8</v>
      </c>
      <c r="I10" s="17">
        <v>0</v>
      </c>
      <c r="J10" s="5">
        <f aca="true" t="shared" si="3" ref="J10:J22">(H10*I10)/2</f>
        <v>0</v>
      </c>
      <c r="K10" s="5">
        <f>J10/12*2</f>
        <v>0</v>
      </c>
      <c r="L10" s="5">
        <f>J10/12*11</f>
        <v>0</v>
      </c>
      <c r="M10" s="5">
        <f>(H10*I10)/12*2</f>
        <v>0</v>
      </c>
      <c r="N10" s="5">
        <f>(H10*I10)/12*13</f>
        <v>0</v>
      </c>
    </row>
    <row r="11" spans="1:14" ht="12.75">
      <c r="A11" s="6">
        <v>2</v>
      </c>
      <c r="B11" s="7">
        <v>202277</v>
      </c>
      <c r="C11" s="7">
        <f t="shared" si="0"/>
        <v>2427324</v>
      </c>
      <c r="D11" s="7" t="s">
        <v>126</v>
      </c>
      <c r="E11" s="7">
        <v>224753</v>
      </c>
      <c r="F11" s="7">
        <f t="shared" si="1"/>
        <v>2697036</v>
      </c>
      <c r="G11" s="5">
        <f t="shared" si="2"/>
        <v>269712</v>
      </c>
      <c r="H11" s="59">
        <f aca="true" t="shared" si="4" ref="H11:H22">G11+(G11*40%)</f>
        <v>377596.8</v>
      </c>
      <c r="I11" s="17">
        <v>2</v>
      </c>
      <c r="J11" s="5">
        <f t="shared" si="3"/>
        <v>377596.8</v>
      </c>
      <c r="K11" s="5">
        <f>J11/12*1</f>
        <v>31466.399999999998</v>
      </c>
      <c r="L11" s="5">
        <f>J11/12*11</f>
        <v>346130.39999999997</v>
      </c>
      <c r="M11" s="5">
        <f>(H11*I11)/12*1</f>
        <v>62932.799999999996</v>
      </c>
      <c r="N11" s="5">
        <f>(H11*I11)/12*12</f>
        <v>755193.6</v>
      </c>
    </row>
    <row r="12" spans="1:14" ht="12.75">
      <c r="A12" s="6">
        <v>3</v>
      </c>
      <c r="B12" s="7">
        <v>202277</v>
      </c>
      <c r="C12" s="7">
        <f t="shared" si="0"/>
        <v>2427324</v>
      </c>
      <c r="D12" s="7" t="s">
        <v>126</v>
      </c>
      <c r="E12" s="7">
        <v>224753</v>
      </c>
      <c r="F12" s="7">
        <f t="shared" si="1"/>
        <v>2697036</v>
      </c>
      <c r="G12" s="5">
        <f t="shared" si="2"/>
        <v>269712</v>
      </c>
      <c r="H12" s="59">
        <f t="shared" si="4"/>
        <v>377596.8</v>
      </c>
      <c r="I12" s="17">
        <v>334</v>
      </c>
      <c r="J12" s="5">
        <f t="shared" si="3"/>
        <v>63058665.6</v>
      </c>
      <c r="K12" s="5">
        <f aca="true" t="shared" si="5" ref="K12:K22">J12/12*1</f>
        <v>5254888.8</v>
      </c>
      <c r="L12" s="5">
        <f aca="true" t="shared" si="6" ref="L12:L22">J12/12*11</f>
        <v>57803776.8</v>
      </c>
      <c r="M12" s="5">
        <f aca="true" t="shared" si="7" ref="M12:M22">(H12*I12)/12*1</f>
        <v>10509777.6</v>
      </c>
      <c r="N12" s="5">
        <f aca="true" t="shared" si="8" ref="N12:N22">(H12*I12)/12*12</f>
        <v>126117331.19999999</v>
      </c>
    </row>
    <row r="13" spans="1:14" ht="12.75">
      <c r="A13" s="6">
        <v>3</v>
      </c>
      <c r="B13" s="7">
        <v>202277</v>
      </c>
      <c r="C13" s="7">
        <f t="shared" si="0"/>
        <v>2427324</v>
      </c>
      <c r="D13" s="7" t="s">
        <v>9</v>
      </c>
      <c r="E13" s="7">
        <v>224753</v>
      </c>
      <c r="F13" s="7">
        <f t="shared" si="1"/>
        <v>2697036</v>
      </c>
      <c r="G13" s="5">
        <f t="shared" si="2"/>
        <v>269712</v>
      </c>
      <c r="H13" s="59">
        <f t="shared" si="4"/>
        <v>377596.8</v>
      </c>
      <c r="I13" s="17">
        <v>1</v>
      </c>
      <c r="J13" s="5">
        <f t="shared" si="3"/>
        <v>188798.4</v>
      </c>
      <c r="K13" s="5">
        <f t="shared" si="5"/>
        <v>15733.199999999999</v>
      </c>
      <c r="L13" s="5">
        <f t="shared" si="6"/>
        <v>173065.19999999998</v>
      </c>
      <c r="M13" s="5">
        <f t="shared" si="7"/>
        <v>31466.399999999998</v>
      </c>
      <c r="N13" s="5">
        <f t="shared" si="8"/>
        <v>377596.8</v>
      </c>
    </row>
    <row r="14" spans="1:14" ht="12.75" customHeight="1">
      <c r="A14" s="6">
        <v>4</v>
      </c>
      <c r="B14" s="7">
        <v>202277</v>
      </c>
      <c r="C14" s="7">
        <f t="shared" si="0"/>
        <v>2427324</v>
      </c>
      <c r="D14" s="7" t="s">
        <v>9</v>
      </c>
      <c r="E14" s="7">
        <v>224753</v>
      </c>
      <c r="F14" s="7">
        <f t="shared" si="1"/>
        <v>2697036</v>
      </c>
      <c r="G14" s="5">
        <f t="shared" si="2"/>
        <v>269712</v>
      </c>
      <c r="H14" s="59">
        <f t="shared" si="4"/>
        <v>377596.8</v>
      </c>
      <c r="I14" s="17">
        <v>86</v>
      </c>
      <c r="J14" s="5">
        <f t="shared" si="3"/>
        <v>16236662.4</v>
      </c>
      <c r="K14" s="5">
        <f t="shared" si="5"/>
        <v>1353055.2</v>
      </c>
      <c r="L14" s="5">
        <f t="shared" si="6"/>
        <v>14883607.2</v>
      </c>
      <c r="M14" s="5">
        <f t="shared" si="7"/>
        <v>2706110.4</v>
      </c>
      <c r="N14" s="5">
        <f t="shared" si="8"/>
        <v>32473324.799999997</v>
      </c>
    </row>
    <row r="15" spans="1:14" ht="12.75" customHeight="1">
      <c r="A15" s="6">
        <v>4</v>
      </c>
      <c r="B15" s="7">
        <v>202277</v>
      </c>
      <c r="C15" s="7">
        <f t="shared" si="0"/>
        <v>2427324</v>
      </c>
      <c r="D15" s="7" t="s">
        <v>10</v>
      </c>
      <c r="E15" s="7">
        <v>224753</v>
      </c>
      <c r="F15" s="7">
        <f t="shared" si="1"/>
        <v>2697036</v>
      </c>
      <c r="G15" s="5">
        <f t="shared" si="2"/>
        <v>269712</v>
      </c>
      <c r="H15" s="59">
        <f t="shared" si="4"/>
        <v>377596.8</v>
      </c>
      <c r="I15" s="17">
        <v>191</v>
      </c>
      <c r="J15" s="5">
        <f t="shared" si="3"/>
        <v>36060494.4</v>
      </c>
      <c r="K15" s="5">
        <f t="shared" si="5"/>
        <v>3005041.1999999997</v>
      </c>
      <c r="L15" s="5">
        <f t="shared" si="6"/>
        <v>33055453.199999996</v>
      </c>
      <c r="M15" s="5">
        <f t="shared" si="7"/>
        <v>6010082.399999999</v>
      </c>
      <c r="N15" s="5">
        <f t="shared" si="8"/>
        <v>72120988.8</v>
      </c>
    </row>
    <row r="16" spans="1:14" ht="12.75">
      <c r="A16" s="6">
        <v>5</v>
      </c>
      <c r="B16" s="7">
        <v>224753</v>
      </c>
      <c r="C16" s="7">
        <f t="shared" si="0"/>
        <v>2697036</v>
      </c>
      <c r="D16" s="7" t="s">
        <v>10</v>
      </c>
      <c r="E16" s="7">
        <v>224753</v>
      </c>
      <c r="F16" s="7">
        <f t="shared" si="1"/>
        <v>2697036</v>
      </c>
      <c r="G16" s="5">
        <f t="shared" si="2"/>
        <v>0</v>
      </c>
      <c r="H16" s="59">
        <f t="shared" si="4"/>
        <v>0</v>
      </c>
      <c r="I16" s="17">
        <v>602</v>
      </c>
      <c r="J16" s="5">
        <f t="shared" si="3"/>
        <v>0</v>
      </c>
      <c r="K16" s="5">
        <f t="shared" si="5"/>
        <v>0</v>
      </c>
      <c r="L16" s="5">
        <f t="shared" si="6"/>
        <v>0</v>
      </c>
      <c r="M16" s="5">
        <f t="shared" si="7"/>
        <v>0</v>
      </c>
      <c r="N16" s="5">
        <f t="shared" si="8"/>
        <v>0</v>
      </c>
    </row>
    <row r="17" spans="1:14" ht="12.75">
      <c r="A17" s="6">
        <v>5</v>
      </c>
      <c r="B17" s="7">
        <v>224753</v>
      </c>
      <c r="C17" s="7">
        <f t="shared" si="0"/>
        <v>2697036</v>
      </c>
      <c r="D17" s="7" t="s">
        <v>11</v>
      </c>
      <c r="E17" s="7">
        <v>224753</v>
      </c>
      <c r="F17" s="7">
        <f t="shared" si="1"/>
        <v>2697036</v>
      </c>
      <c r="G17" s="5">
        <f t="shared" si="2"/>
        <v>0</v>
      </c>
      <c r="H17" s="59">
        <f t="shared" si="4"/>
        <v>0</v>
      </c>
      <c r="I17" s="17">
        <v>57</v>
      </c>
      <c r="J17" s="5">
        <f t="shared" si="3"/>
        <v>0</v>
      </c>
      <c r="K17" s="5">
        <f t="shared" si="5"/>
        <v>0</v>
      </c>
      <c r="L17" s="5">
        <f t="shared" si="6"/>
        <v>0</v>
      </c>
      <c r="M17" s="5">
        <f t="shared" si="7"/>
        <v>0</v>
      </c>
      <c r="N17" s="5">
        <f t="shared" si="8"/>
        <v>0</v>
      </c>
    </row>
    <row r="18" spans="1:14" ht="12.75">
      <c r="A18" s="6">
        <v>5</v>
      </c>
      <c r="B18" s="7">
        <v>224753</v>
      </c>
      <c r="C18" s="7">
        <f t="shared" si="0"/>
        <v>2697036</v>
      </c>
      <c r="D18" s="7" t="s">
        <v>11</v>
      </c>
      <c r="E18" s="7">
        <v>224753</v>
      </c>
      <c r="F18" s="7">
        <f t="shared" si="1"/>
        <v>2697036</v>
      </c>
      <c r="G18" s="5">
        <f t="shared" si="2"/>
        <v>0</v>
      </c>
      <c r="H18" s="59">
        <f t="shared" si="4"/>
        <v>0</v>
      </c>
      <c r="I18" s="17">
        <v>73</v>
      </c>
      <c r="J18" s="5">
        <f t="shared" si="3"/>
        <v>0</v>
      </c>
      <c r="K18" s="5">
        <f t="shared" si="5"/>
        <v>0</v>
      </c>
      <c r="L18" s="5">
        <f t="shared" si="6"/>
        <v>0</v>
      </c>
      <c r="M18" s="5">
        <f t="shared" si="7"/>
        <v>0</v>
      </c>
      <c r="N18" s="5">
        <f t="shared" si="8"/>
        <v>0</v>
      </c>
    </row>
    <row r="19" spans="1:14" ht="12.75">
      <c r="A19" s="6">
        <v>5</v>
      </c>
      <c r="B19" s="7">
        <v>224753</v>
      </c>
      <c r="C19" s="7">
        <f t="shared" si="0"/>
        <v>2697036</v>
      </c>
      <c r="D19" s="7" t="s">
        <v>121</v>
      </c>
      <c r="E19" s="7">
        <v>280942</v>
      </c>
      <c r="F19" s="7">
        <f t="shared" si="1"/>
        <v>3371304</v>
      </c>
      <c r="G19" s="5">
        <f t="shared" si="2"/>
        <v>674268</v>
      </c>
      <c r="H19" s="59">
        <f t="shared" si="4"/>
        <v>943975.2</v>
      </c>
      <c r="I19" s="17">
        <v>4</v>
      </c>
      <c r="J19" s="5">
        <f t="shared" si="3"/>
        <v>1887950.4</v>
      </c>
      <c r="K19" s="5">
        <f t="shared" si="5"/>
        <v>157329.19999999998</v>
      </c>
      <c r="L19" s="5">
        <f t="shared" si="6"/>
        <v>1730621.1999999997</v>
      </c>
      <c r="M19" s="5">
        <f t="shared" si="7"/>
        <v>314658.39999999997</v>
      </c>
      <c r="N19" s="5">
        <f t="shared" si="8"/>
        <v>3775900.8</v>
      </c>
    </row>
    <row r="20" spans="1:14" ht="12.75">
      <c r="A20" s="6">
        <v>6</v>
      </c>
      <c r="B20" s="7">
        <v>224753</v>
      </c>
      <c r="C20" s="7">
        <f t="shared" si="0"/>
        <v>2697036</v>
      </c>
      <c r="D20" s="7" t="s">
        <v>121</v>
      </c>
      <c r="E20" s="7">
        <v>280942</v>
      </c>
      <c r="F20" s="7">
        <f t="shared" si="1"/>
        <v>3371304</v>
      </c>
      <c r="G20" s="5">
        <f t="shared" si="2"/>
        <v>674268</v>
      </c>
      <c r="H20" s="59">
        <f t="shared" si="4"/>
        <v>943975.2</v>
      </c>
      <c r="I20" s="17">
        <v>159</v>
      </c>
      <c r="J20" s="5">
        <f t="shared" si="3"/>
        <v>75046028.39999999</v>
      </c>
      <c r="K20" s="5">
        <f t="shared" si="5"/>
        <v>6253835.699999999</v>
      </c>
      <c r="L20" s="5">
        <f t="shared" si="6"/>
        <v>68792192.69999999</v>
      </c>
      <c r="M20" s="5">
        <f t="shared" si="7"/>
        <v>12507671.399999999</v>
      </c>
      <c r="N20" s="5">
        <f t="shared" si="8"/>
        <v>150092056.79999998</v>
      </c>
    </row>
    <row r="21" spans="1:14" ht="12.75">
      <c r="A21" s="6">
        <v>7</v>
      </c>
      <c r="B21" s="7">
        <v>280942</v>
      </c>
      <c r="C21" s="7">
        <f t="shared" si="0"/>
        <v>3371304</v>
      </c>
      <c r="D21" s="7" t="s">
        <v>13</v>
      </c>
      <c r="E21" s="7">
        <v>280942</v>
      </c>
      <c r="F21" s="7">
        <f t="shared" si="1"/>
        <v>3371304</v>
      </c>
      <c r="G21" s="5">
        <f t="shared" si="2"/>
        <v>0</v>
      </c>
      <c r="H21" s="59">
        <f t="shared" si="4"/>
        <v>0</v>
      </c>
      <c r="I21" s="17">
        <v>758</v>
      </c>
      <c r="J21" s="5">
        <f t="shared" si="3"/>
        <v>0</v>
      </c>
      <c r="K21" s="5">
        <f t="shared" si="5"/>
        <v>0</v>
      </c>
      <c r="L21" s="5">
        <f t="shared" si="6"/>
        <v>0</v>
      </c>
      <c r="M21" s="5">
        <f t="shared" si="7"/>
        <v>0</v>
      </c>
      <c r="N21" s="5">
        <f t="shared" si="8"/>
        <v>0</v>
      </c>
    </row>
    <row r="22" spans="1:14" ht="13.5" thickBot="1">
      <c r="A22" s="6">
        <v>8</v>
      </c>
      <c r="B22" s="7">
        <v>337130</v>
      </c>
      <c r="C22" s="7">
        <f t="shared" si="0"/>
        <v>4045560</v>
      </c>
      <c r="D22" s="6" t="s">
        <v>127</v>
      </c>
      <c r="E22" s="7">
        <v>337130</v>
      </c>
      <c r="F22" s="7">
        <f t="shared" si="1"/>
        <v>4045560</v>
      </c>
      <c r="G22" s="5">
        <f t="shared" si="2"/>
        <v>0</v>
      </c>
      <c r="H22" s="59">
        <f t="shared" si="4"/>
        <v>0</v>
      </c>
      <c r="I22" s="17">
        <v>228</v>
      </c>
      <c r="J22" s="5">
        <f t="shared" si="3"/>
        <v>0</v>
      </c>
      <c r="K22" s="5">
        <f t="shared" si="5"/>
        <v>0</v>
      </c>
      <c r="L22" s="5">
        <f t="shared" si="6"/>
        <v>0</v>
      </c>
      <c r="M22" s="5">
        <f t="shared" si="7"/>
        <v>0</v>
      </c>
      <c r="N22" s="5">
        <f t="shared" si="8"/>
        <v>0</v>
      </c>
    </row>
    <row r="23" spans="1:13" ht="13.5" hidden="1" thickBot="1">
      <c r="A23" s="1"/>
      <c r="B23" s="8"/>
      <c r="C23" s="8"/>
      <c r="D23" s="9"/>
      <c r="E23" s="9"/>
      <c r="F23" s="9"/>
      <c r="G23" s="9"/>
      <c r="H23" s="9"/>
      <c r="L23" s="49">
        <f>SUM(L10:L22)</f>
        <v>176784846.7</v>
      </c>
      <c r="M23" s="49">
        <f>SUM(M10:M22)</f>
        <v>32142699.4</v>
      </c>
    </row>
    <row r="24" spans="1:14" ht="13.5" thickBot="1">
      <c r="A24" s="1"/>
      <c r="B24" s="1"/>
      <c r="C24" s="1"/>
      <c r="D24" s="10"/>
      <c r="E24" s="1"/>
      <c r="F24" s="1"/>
      <c r="G24" s="8"/>
      <c r="H24" s="8"/>
      <c r="I24" s="165" t="s">
        <v>153</v>
      </c>
      <c r="J24" s="164">
        <f>SUM(J10:J22)</f>
        <v>192856196.39999998</v>
      </c>
      <c r="K24" s="163">
        <f>SUM(K11:K22)</f>
        <v>16071349.7</v>
      </c>
      <c r="L24" s="183">
        <f>L23+M23</f>
        <v>208927546.1</v>
      </c>
      <c r="M24" s="184"/>
      <c r="N24" s="163">
        <f>SUM(N10:N22)</f>
        <v>385712392.79999995</v>
      </c>
    </row>
    <row r="25" spans="1:8" ht="12.75">
      <c r="A25" s="1"/>
      <c r="B25" s="1"/>
      <c r="C25" s="1"/>
      <c r="D25" s="10" t="s">
        <v>23</v>
      </c>
      <c r="E25" s="1"/>
      <c r="F25" s="1"/>
      <c r="G25" s="8"/>
      <c r="H25" s="8"/>
    </row>
  </sheetData>
  <mergeCells count="4">
    <mergeCell ref="L24:M24"/>
    <mergeCell ref="A2:N2"/>
    <mergeCell ref="A4:N5"/>
    <mergeCell ref="A6:N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3:F37"/>
  <sheetViews>
    <sheetView zoomScale="90" zoomScaleNormal="90" workbookViewId="0" topLeftCell="A25">
      <selection activeCell="C34" sqref="C34"/>
    </sheetView>
  </sheetViews>
  <sheetFormatPr defaultColWidth="9.140625" defaultRowHeight="12.75"/>
  <cols>
    <col min="1" max="1" width="7.00390625" style="1" bestFit="1" customWidth="1"/>
    <col min="2" max="2" width="38.00390625" style="23" bestFit="1" customWidth="1"/>
    <col min="3" max="3" width="21.57421875" style="1" customWidth="1"/>
    <col min="4" max="4" width="10.140625" style="1" customWidth="1"/>
    <col min="5" max="5" width="14.7109375" style="1" bestFit="1" customWidth="1"/>
    <col min="6" max="6" width="16.00390625" style="1" bestFit="1" customWidth="1"/>
    <col min="7" max="16384" width="9.140625" style="1" customWidth="1"/>
  </cols>
  <sheetData>
    <row r="1" ht="12.75" hidden="1"/>
    <row r="2" ht="12.75" hidden="1"/>
    <row r="3" spans="1:6" ht="14.25" customHeight="1" hidden="1">
      <c r="A3" s="33"/>
      <c r="B3" s="33"/>
      <c r="C3" s="33"/>
      <c r="D3" s="33"/>
      <c r="E3" s="33"/>
      <c r="F3" s="33"/>
    </row>
    <row r="4" spans="1:6" ht="14.25" customHeight="1">
      <c r="A4" s="33"/>
      <c r="B4" s="33"/>
      <c r="C4" s="33"/>
      <c r="D4" s="33"/>
      <c r="E4" s="33"/>
      <c r="F4" s="33"/>
    </row>
    <row r="5" spans="1:6" ht="27">
      <c r="A5" s="170" t="s">
        <v>22</v>
      </c>
      <c r="B5" s="171"/>
      <c r="C5" s="171"/>
      <c r="D5" s="171"/>
      <c r="E5" s="171"/>
      <c r="F5" s="172"/>
    </row>
    <row r="6" spans="1:6" ht="11.25" customHeight="1">
      <c r="A6" s="33"/>
      <c r="B6" s="33"/>
      <c r="C6" s="33"/>
      <c r="D6" s="33"/>
      <c r="E6" s="33"/>
      <c r="F6" s="33"/>
    </row>
    <row r="7" spans="1:6" ht="27">
      <c r="A7" s="170" t="s">
        <v>38</v>
      </c>
      <c r="B7" s="171"/>
      <c r="C7" s="171"/>
      <c r="D7" s="171"/>
      <c r="E7" s="171"/>
      <c r="F7" s="172"/>
    </row>
    <row r="9" spans="1:6" s="18" customFormat="1" ht="45">
      <c r="A9" s="48" t="s">
        <v>41</v>
      </c>
      <c r="B9" s="48" t="s">
        <v>42</v>
      </c>
      <c r="C9" s="48" t="s">
        <v>39</v>
      </c>
      <c r="D9" s="57" t="s">
        <v>77</v>
      </c>
      <c r="E9" s="48" t="s">
        <v>71</v>
      </c>
      <c r="F9" s="52" t="s">
        <v>72</v>
      </c>
    </row>
    <row r="10" spans="1:6" ht="7.5" customHeight="1">
      <c r="A10" s="34"/>
      <c r="B10" s="34"/>
      <c r="C10" s="34"/>
      <c r="D10" s="34"/>
      <c r="E10" s="35"/>
      <c r="F10" s="113"/>
    </row>
    <row r="11" spans="1:6" ht="24.75" customHeight="1">
      <c r="A11" s="45">
        <v>1998</v>
      </c>
      <c r="B11" s="43" t="s">
        <v>66</v>
      </c>
      <c r="C11" s="5" t="s">
        <v>49</v>
      </c>
      <c r="D11" s="5" t="s">
        <v>40</v>
      </c>
      <c r="E11" s="5">
        <v>401889600</v>
      </c>
      <c r="F11" s="46"/>
    </row>
    <row r="12" spans="1:6" ht="24.75" customHeight="1">
      <c r="A12" s="136"/>
      <c r="B12" s="43" t="s">
        <v>257</v>
      </c>
      <c r="C12" s="5" t="s">
        <v>265</v>
      </c>
      <c r="D12" s="5" t="s">
        <v>81</v>
      </c>
      <c r="E12" s="5">
        <v>50000000</v>
      </c>
      <c r="F12" s="47">
        <f>E11+E12</f>
        <v>451889600</v>
      </c>
    </row>
    <row r="13" spans="1:6" ht="25.5" customHeight="1">
      <c r="A13" s="135">
        <v>1999</v>
      </c>
      <c r="B13" s="43" t="s">
        <v>66</v>
      </c>
      <c r="C13" s="5" t="s">
        <v>48</v>
      </c>
      <c r="D13" s="5" t="s">
        <v>43</v>
      </c>
      <c r="E13" s="5">
        <v>1741521600</v>
      </c>
      <c r="F13" s="49"/>
    </row>
    <row r="14" spans="1:6" ht="27" customHeight="1">
      <c r="A14" s="46"/>
      <c r="B14" s="44" t="s">
        <v>44</v>
      </c>
      <c r="C14" s="5" t="s">
        <v>47</v>
      </c>
      <c r="D14" s="5" t="s">
        <v>45</v>
      </c>
      <c r="E14" s="5">
        <v>776828920</v>
      </c>
      <c r="F14" s="46"/>
    </row>
    <row r="15" spans="1:6" ht="27" customHeight="1">
      <c r="A15" s="46"/>
      <c r="B15" s="43" t="s">
        <v>65</v>
      </c>
      <c r="C15" s="5" t="s">
        <v>48</v>
      </c>
      <c r="D15" s="5" t="s">
        <v>50</v>
      </c>
      <c r="E15" s="5">
        <v>1945325850</v>
      </c>
      <c r="F15" s="46"/>
    </row>
    <row r="16" spans="1:6" ht="27" customHeight="1">
      <c r="A16" s="46"/>
      <c r="B16" s="43" t="s">
        <v>257</v>
      </c>
      <c r="C16" s="5" t="s">
        <v>266</v>
      </c>
      <c r="D16" s="5" t="s">
        <v>81</v>
      </c>
      <c r="E16" s="5">
        <v>50000000</v>
      </c>
      <c r="F16" s="46">
        <f>SUM(E13:E16)</f>
        <v>4513676370</v>
      </c>
    </row>
    <row r="17" spans="1:6" ht="33" customHeight="1">
      <c r="A17" s="50">
        <v>2000</v>
      </c>
      <c r="B17" s="43" t="s">
        <v>67</v>
      </c>
      <c r="C17" s="5" t="s">
        <v>46</v>
      </c>
      <c r="D17" s="5" t="s">
        <v>55</v>
      </c>
      <c r="E17" s="16">
        <v>3207136400</v>
      </c>
      <c r="F17" s="49"/>
    </row>
    <row r="18" spans="1:6" ht="33" customHeight="1">
      <c r="A18" s="51"/>
      <c r="B18" s="43" t="s">
        <v>65</v>
      </c>
      <c r="C18" s="5" t="s">
        <v>99</v>
      </c>
      <c r="D18" s="5" t="s">
        <v>57</v>
      </c>
      <c r="E18" s="16">
        <v>1657887000</v>
      </c>
      <c r="F18" s="46"/>
    </row>
    <row r="19" spans="1:6" ht="37.5" customHeight="1">
      <c r="A19" s="51"/>
      <c r="B19" s="43" t="s">
        <v>56</v>
      </c>
      <c r="C19" s="5" t="s">
        <v>46</v>
      </c>
      <c r="D19" s="5" t="s">
        <v>59</v>
      </c>
      <c r="E19" s="16">
        <v>2983412000</v>
      </c>
      <c r="F19" s="46"/>
    </row>
    <row r="20" spans="1:6" ht="37.5" customHeight="1">
      <c r="A20" s="51"/>
      <c r="B20" s="43" t="s">
        <v>84</v>
      </c>
      <c r="C20" s="5" t="s">
        <v>46</v>
      </c>
      <c r="D20" s="5" t="s">
        <v>68</v>
      </c>
      <c r="E20" s="16">
        <v>2165905000</v>
      </c>
      <c r="F20" s="46"/>
    </row>
    <row r="21" spans="1:6" ht="37.5" customHeight="1">
      <c r="A21" s="51"/>
      <c r="B21" s="43" t="s">
        <v>85</v>
      </c>
      <c r="C21" s="5" t="s">
        <v>98</v>
      </c>
      <c r="D21" s="5" t="s">
        <v>70</v>
      </c>
      <c r="E21" s="16">
        <v>1002780004</v>
      </c>
      <c r="F21" s="46"/>
    </row>
    <row r="22" spans="1:6" ht="25.5" customHeight="1">
      <c r="A22" s="51"/>
      <c r="B22" s="166" t="s">
        <v>142</v>
      </c>
      <c r="C22" s="5" t="s">
        <v>91</v>
      </c>
      <c r="D22" s="5" t="s">
        <v>74</v>
      </c>
      <c r="E22" s="1">
        <v>882504313</v>
      </c>
      <c r="F22" s="46"/>
    </row>
    <row r="23" spans="1:6" ht="25.5" customHeight="1">
      <c r="A23" s="51"/>
      <c r="B23" s="43" t="s">
        <v>257</v>
      </c>
      <c r="C23" s="5" t="s">
        <v>263</v>
      </c>
      <c r="D23" s="5" t="s">
        <v>81</v>
      </c>
      <c r="E23" s="5">
        <v>50000000</v>
      </c>
      <c r="F23" s="47">
        <f>SUM(E17:E23)</f>
        <v>11949624717</v>
      </c>
    </row>
    <row r="24" spans="1:6" ht="37.5" customHeight="1">
      <c r="A24" s="50">
        <v>2001</v>
      </c>
      <c r="B24" s="43" t="s">
        <v>67</v>
      </c>
      <c r="C24" s="5" t="s">
        <v>60</v>
      </c>
      <c r="D24" s="5" t="s">
        <v>55</v>
      </c>
      <c r="E24" s="16">
        <v>3207136400</v>
      </c>
      <c r="F24" s="46"/>
    </row>
    <row r="25" spans="1:6" ht="37.5" customHeight="1">
      <c r="A25" s="51"/>
      <c r="B25" s="43" t="s">
        <v>56</v>
      </c>
      <c r="C25" s="5" t="s">
        <v>60</v>
      </c>
      <c r="D25" s="5" t="s">
        <v>59</v>
      </c>
      <c r="E25" s="16">
        <v>2983412000</v>
      </c>
      <c r="F25" s="46"/>
    </row>
    <row r="26" spans="1:6" ht="37.5" customHeight="1">
      <c r="A26" s="51"/>
      <c r="B26" s="43" t="s">
        <v>84</v>
      </c>
      <c r="C26" s="5" t="s">
        <v>60</v>
      </c>
      <c r="D26" s="5" t="s">
        <v>68</v>
      </c>
      <c r="E26" s="16">
        <v>2165905000</v>
      </c>
      <c r="F26" s="46"/>
    </row>
    <row r="27" spans="1:6" ht="27" customHeight="1">
      <c r="A27" s="51"/>
      <c r="B27" s="43" t="s">
        <v>85</v>
      </c>
      <c r="C27" s="5" t="s">
        <v>60</v>
      </c>
      <c r="D27" s="5" t="s">
        <v>70</v>
      </c>
      <c r="E27" s="16">
        <v>7180866315</v>
      </c>
      <c r="F27" s="46"/>
    </row>
    <row r="28" spans="1:6" ht="27" customHeight="1">
      <c r="A28" s="51"/>
      <c r="B28" s="3" t="s">
        <v>142</v>
      </c>
      <c r="C28" s="167" t="s">
        <v>282</v>
      </c>
      <c r="D28" s="5" t="s">
        <v>74</v>
      </c>
      <c r="E28" s="5">
        <v>882504313</v>
      </c>
      <c r="F28" s="46"/>
    </row>
    <row r="29" spans="1:6" ht="27" customHeight="1">
      <c r="A29" s="51"/>
      <c r="B29" s="43" t="s">
        <v>257</v>
      </c>
      <c r="C29" s="5" t="s">
        <v>264</v>
      </c>
      <c r="D29" s="5" t="s">
        <v>81</v>
      </c>
      <c r="E29" s="5">
        <v>50000000</v>
      </c>
      <c r="F29" s="46">
        <f>SUM(E24:E29)</f>
        <v>16469824028</v>
      </c>
    </row>
    <row r="30" spans="1:6" ht="27" customHeight="1">
      <c r="A30" s="50">
        <v>2002</v>
      </c>
      <c r="B30" s="43" t="s">
        <v>67</v>
      </c>
      <c r="C30" s="5" t="s">
        <v>82</v>
      </c>
      <c r="D30" s="5" t="s">
        <v>55</v>
      </c>
      <c r="E30" s="16">
        <v>3207136400</v>
      </c>
      <c r="F30" s="49"/>
    </row>
    <row r="31" spans="1:6" ht="27" customHeight="1">
      <c r="A31" s="51"/>
      <c r="B31" s="43" t="s">
        <v>56</v>
      </c>
      <c r="C31" s="5" t="s">
        <v>82</v>
      </c>
      <c r="D31" s="5" t="s">
        <v>59</v>
      </c>
      <c r="E31" s="16">
        <v>2983412000</v>
      </c>
      <c r="F31" s="46"/>
    </row>
    <row r="32" spans="1:6" ht="27" customHeight="1">
      <c r="A32" s="51"/>
      <c r="B32" s="43" t="s">
        <v>84</v>
      </c>
      <c r="C32" s="5" t="s">
        <v>82</v>
      </c>
      <c r="D32" s="5" t="s">
        <v>68</v>
      </c>
      <c r="E32" s="16">
        <v>2165905000</v>
      </c>
      <c r="F32" s="46"/>
    </row>
    <row r="33" spans="1:6" ht="25.5">
      <c r="A33" s="51"/>
      <c r="B33" s="43" t="s">
        <v>85</v>
      </c>
      <c r="C33" s="5" t="s">
        <v>82</v>
      </c>
      <c r="D33" s="5" t="s">
        <v>75</v>
      </c>
      <c r="E33" s="16">
        <v>10826245893</v>
      </c>
      <c r="F33" s="46"/>
    </row>
    <row r="34" spans="1:6" ht="25.5" customHeight="1">
      <c r="A34" s="51"/>
      <c r="B34" s="168" t="s">
        <v>142</v>
      </c>
      <c r="C34" s="169" t="s">
        <v>283</v>
      </c>
      <c r="D34" s="5" t="s">
        <v>74</v>
      </c>
      <c r="E34" s="5">
        <v>882504313</v>
      </c>
      <c r="F34" s="46"/>
    </row>
    <row r="35" spans="1:6" ht="25.5">
      <c r="A35" s="47"/>
      <c r="B35" s="43" t="s">
        <v>257</v>
      </c>
      <c r="C35" s="5" t="s">
        <v>267</v>
      </c>
      <c r="D35" s="5" t="s">
        <v>81</v>
      </c>
      <c r="E35" s="5">
        <v>50000000</v>
      </c>
      <c r="F35" s="47">
        <f>SUM(E30:E35)</f>
        <v>20115203606</v>
      </c>
    </row>
    <row r="36" ht="13.5" thickBot="1"/>
    <row r="37" spans="5:6" ht="13.5" thickBot="1">
      <c r="E37" s="117" t="s">
        <v>153</v>
      </c>
      <c r="F37" s="118">
        <f>SUM(F11:F35)</f>
        <v>53500218321</v>
      </c>
    </row>
  </sheetData>
  <mergeCells count="2">
    <mergeCell ref="A5:F5"/>
    <mergeCell ref="A7:F7"/>
  </mergeCells>
  <printOptions horizontalCentered="1" verticalCentered="1"/>
  <pageMargins left="0.7874015748031497" right="0.7874015748031497" top="0.1968503937007874" bottom="0.984251968503937" header="0.5118110236220472" footer="0.5118110236220472"/>
  <pageSetup horizontalDpi="300" verticalDpi="300" orientation="portrait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54"/>
  <sheetViews>
    <sheetView workbookViewId="0" topLeftCell="F20">
      <selection activeCell="M26" sqref="M26"/>
    </sheetView>
  </sheetViews>
  <sheetFormatPr defaultColWidth="9.140625" defaultRowHeight="12.75"/>
  <cols>
    <col min="2" max="2" width="15.28125" style="0" customWidth="1"/>
    <col min="3" max="3" width="15.57421875" style="0" customWidth="1"/>
    <col min="4" max="5" width="12.7109375" style="0" customWidth="1"/>
    <col min="6" max="6" width="13.421875" style="0" customWidth="1"/>
    <col min="7" max="8" width="12.7109375" style="0" customWidth="1"/>
    <col min="9" max="9" width="15.421875" style="0" bestFit="1" customWidth="1"/>
    <col min="10" max="10" width="18.57421875" style="0" bestFit="1" customWidth="1"/>
    <col min="11" max="12" width="16.421875" style="0" customWidth="1"/>
    <col min="13" max="13" width="17.421875" style="0" bestFit="1" customWidth="1"/>
  </cols>
  <sheetData>
    <row r="2" ht="12.75">
      <c r="B2" s="41" t="s">
        <v>74</v>
      </c>
    </row>
    <row r="3" spans="2:12" ht="20.25">
      <c r="B3" s="177" t="s">
        <v>22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</row>
    <row r="5" spans="2:12" ht="18">
      <c r="B5" s="187" t="s">
        <v>159</v>
      </c>
      <c r="C5" s="187"/>
      <c r="D5" s="187"/>
      <c r="E5" s="187"/>
      <c r="F5" s="187"/>
      <c r="G5" s="187"/>
      <c r="H5" s="187"/>
      <c r="I5" s="187"/>
      <c r="J5" s="187"/>
      <c r="K5" s="187"/>
      <c r="L5" s="187"/>
    </row>
    <row r="6" spans="2:12" ht="18">
      <c r="B6" s="187" t="s">
        <v>160</v>
      </c>
      <c r="C6" s="187"/>
      <c r="D6" s="187"/>
      <c r="E6" s="187"/>
      <c r="F6" s="187"/>
      <c r="G6" s="187"/>
      <c r="H6" s="187"/>
      <c r="I6" s="187"/>
      <c r="J6" s="187"/>
      <c r="K6" s="187"/>
      <c r="L6" s="187"/>
    </row>
    <row r="9" spans="2:12" ht="13.5" thickBot="1">
      <c r="B9" s="188" t="s">
        <v>206</v>
      </c>
      <c r="C9" s="188"/>
      <c r="D9" s="188"/>
      <c r="E9" s="188"/>
      <c r="F9" s="188"/>
      <c r="G9" s="188"/>
      <c r="H9" s="188"/>
      <c r="I9" s="188"/>
      <c r="J9" s="188"/>
      <c r="K9" s="188"/>
      <c r="L9" s="188"/>
    </row>
    <row r="10" spans="2:12" ht="25.5">
      <c r="B10" s="93" t="s">
        <v>161</v>
      </c>
      <c r="C10" s="93" t="s">
        <v>162</v>
      </c>
      <c r="D10" s="93" t="s">
        <v>163</v>
      </c>
      <c r="E10" s="93" t="s">
        <v>164</v>
      </c>
      <c r="F10" s="93" t="s">
        <v>165</v>
      </c>
      <c r="G10" s="93" t="s">
        <v>166</v>
      </c>
      <c r="H10" s="93" t="s">
        <v>167</v>
      </c>
      <c r="I10" s="94" t="s">
        <v>168</v>
      </c>
      <c r="J10" s="94" t="s">
        <v>169</v>
      </c>
      <c r="K10" s="94" t="s">
        <v>170</v>
      </c>
      <c r="L10" s="95" t="s">
        <v>171</v>
      </c>
    </row>
    <row r="11" spans="10:12" ht="12.75">
      <c r="J11" s="76"/>
      <c r="K11" s="76"/>
      <c r="L11" s="96"/>
    </row>
    <row r="12" spans="2:13" ht="18" customHeight="1">
      <c r="B12" s="97">
        <v>1</v>
      </c>
      <c r="C12" s="14">
        <v>5</v>
      </c>
      <c r="D12" s="5">
        <v>10178000</v>
      </c>
      <c r="E12" s="5">
        <v>11947716</v>
      </c>
      <c r="F12" s="5">
        <v>2427324</v>
      </c>
      <c r="G12" s="5">
        <v>590000</v>
      </c>
      <c r="H12" s="5">
        <f aca="true" t="shared" si="0" ref="H12:H26">G12-G12/2</f>
        <v>295000</v>
      </c>
      <c r="I12" s="16">
        <f aca="true" t="shared" si="1" ref="I12:I26">SUM(D12+E12+F12+G12+H12)*0.1</f>
        <v>2543804</v>
      </c>
      <c r="J12" s="16">
        <f aca="true" t="shared" si="2" ref="J12:J26">SUM(D12:I12)</f>
        <v>27981844</v>
      </c>
      <c r="K12" s="16">
        <f aca="true" t="shared" si="3" ref="K12:K26">J12/12*13</f>
        <v>30313664.333333336</v>
      </c>
      <c r="L12" s="98">
        <f aca="true" t="shared" si="4" ref="L12:L26">C12*K12</f>
        <v>151568321.6666667</v>
      </c>
      <c r="M12" s="99"/>
    </row>
    <row r="13" spans="2:13" ht="18" customHeight="1">
      <c r="B13" s="97" t="s">
        <v>172</v>
      </c>
      <c r="C13" s="14">
        <v>2</v>
      </c>
      <c r="D13" s="5">
        <v>10562000</v>
      </c>
      <c r="E13" s="5">
        <v>11958564</v>
      </c>
      <c r="F13" s="5">
        <v>2427324</v>
      </c>
      <c r="G13" s="5">
        <v>590000</v>
      </c>
      <c r="H13" s="5">
        <f t="shared" si="0"/>
        <v>295000</v>
      </c>
      <c r="I13" s="16">
        <f t="shared" si="1"/>
        <v>2583288.8000000003</v>
      </c>
      <c r="J13" s="16">
        <f t="shared" si="2"/>
        <v>28416176.8</v>
      </c>
      <c r="K13" s="16">
        <f t="shared" si="3"/>
        <v>30784191.533333335</v>
      </c>
      <c r="L13" s="98">
        <f t="shared" si="4"/>
        <v>61568383.06666667</v>
      </c>
      <c r="M13" s="99"/>
    </row>
    <row r="14" spans="2:13" ht="18" customHeight="1">
      <c r="B14" s="97">
        <v>2</v>
      </c>
      <c r="C14" s="14">
        <v>7</v>
      </c>
      <c r="D14" s="5">
        <v>11294000</v>
      </c>
      <c r="E14" s="5">
        <v>12017856</v>
      </c>
      <c r="F14" s="5">
        <v>2427324</v>
      </c>
      <c r="G14" s="5">
        <v>680000</v>
      </c>
      <c r="H14" s="5">
        <f t="shared" si="0"/>
        <v>340000</v>
      </c>
      <c r="I14" s="16">
        <f t="shared" si="1"/>
        <v>2675918</v>
      </c>
      <c r="J14" s="16">
        <f t="shared" si="2"/>
        <v>29435098</v>
      </c>
      <c r="K14" s="16">
        <f t="shared" si="3"/>
        <v>31888022.833333336</v>
      </c>
      <c r="L14" s="98">
        <f t="shared" si="4"/>
        <v>223216159.83333334</v>
      </c>
      <c r="M14" s="99"/>
    </row>
    <row r="15" spans="2:13" ht="18" customHeight="1">
      <c r="B15" s="97" t="s">
        <v>173</v>
      </c>
      <c r="C15" s="14">
        <v>2</v>
      </c>
      <c r="D15" s="5">
        <v>11750000</v>
      </c>
      <c r="E15" s="5">
        <v>12030744</v>
      </c>
      <c r="F15" s="5">
        <v>2427324</v>
      </c>
      <c r="G15" s="5">
        <v>680000</v>
      </c>
      <c r="H15" s="5">
        <f t="shared" si="0"/>
        <v>340000</v>
      </c>
      <c r="I15" s="16">
        <f t="shared" si="1"/>
        <v>2722806.8000000003</v>
      </c>
      <c r="J15" s="16">
        <f t="shared" si="2"/>
        <v>29950874.8</v>
      </c>
      <c r="K15" s="16">
        <f t="shared" si="3"/>
        <v>32446781.033333335</v>
      </c>
      <c r="L15" s="98">
        <f t="shared" si="4"/>
        <v>64893562.06666667</v>
      </c>
      <c r="M15" s="99"/>
    </row>
    <row r="16" spans="2:13" ht="18" customHeight="1">
      <c r="B16" s="97">
        <v>3</v>
      </c>
      <c r="C16" s="14">
        <v>121</v>
      </c>
      <c r="D16" s="5">
        <v>12489000</v>
      </c>
      <c r="E16" s="5">
        <v>12090108</v>
      </c>
      <c r="F16" s="5">
        <v>2427324</v>
      </c>
      <c r="G16" s="5">
        <v>757762</v>
      </c>
      <c r="H16" s="5">
        <f t="shared" si="0"/>
        <v>378881</v>
      </c>
      <c r="I16" s="16">
        <f t="shared" si="1"/>
        <v>2814307.5</v>
      </c>
      <c r="J16" s="16">
        <f t="shared" si="2"/>
        <v>30957382.5</v>
      </c>
      <c r="K16" s="16">
        <f t="shared" si="3"/>
        <v>33537164.375</v>
      </c>
      <c r="L16" s="98">
        <f t="shared" si="4"/>
        <v>4057996889.375</v>
      </c>
      <c r="M16" s="99"/>
    </row>
    <row r="17" spans="2:13" ht="18" customHeight="1">
      <c r="B17" s="97" t="s">
        <v>174</v>
      </c>
      <c r="C17" s="14">
        <v>80</v>
      </c>
      <c r="D17" s="5">
        <v>12889000</v>
      </c>
      <c r="E17" s="5">
        <v>12101412</v>
      </c>
      <c r="F17" s="5">
        <v>2427324</v>
      </c>
      <c r="G17" s="5">
        <v>757762</v>
      </c>
      <c r="H17" s="5">
        <f t="shared" si="0"/>
        <v>378881</v>
      </c>
      <c r="I17" s="16">
        <f t="shared" si="1"/>
        <v>2855437.9000000004</v>
      </c>
      <c r="J17" s="16">
        <f t="shared" si="2"/>
        <v>31409816.9</v>
      </c>
      <c r="K17" s="16">
        <f t="shared" si="3"/>
        <v>34027301.641666666</v>
      </c>
      <c r="L17" s="98">
        <f t="shared" si="4"/>
        <v>2722184131.333333</v>
      </c>
      <c r="M17" s="99"/>
    </row>
    <row r="18" spans="2:13" ht="18" customHeight="1">
      <c r="B18" s="97">
        <v>4</v>
      </c>
      <c r="C18" s="14">
        <v>301</v>
      </c>
      <c r="D18" s="5">
        <v>13741000</v>
      </c>
      <c r="E18" s="5">
        <v>12166344</v>
      </c>
      <c r="F18" s="5">
        <v>2427324</v>
      </c>
      <c r="G18" s="5">
        <v>847571</v>
      </c>
      <c r="H18" s="5">
        <f t="shared" si="0"/>
        <v>423785.5</v>
      </c>
      <c r="I18" s="16">
        <f t="shared" si="1"/>
        <v>2960602.45</v>
      </c>
      <c r="J18" s="16">
        <f t="shared" si="2"/>
        <v>32566626.95</v>
      </c>
      <c r="K18" s="16">
        <f t="shared" si="3"/>
        <v>35280512.52916667</v>
      </c>
      <c r="L18" s="98">
        <f t="shared" si="4"/>
        <v>10619434271.279167</v>
      </c>
      <c r="M18" s="99"/>
    </row>
    <row r="19" spans="2:13" ht="18" customHeight="1">
      <c r="B19" s="97" t="s">
        <v>175</v>
      </c>
      <c r="C19" s="14">
        <v>451</v>
      </c>
      <c r="D19" s="5">
        <v>14277000</v>
      </c>
      <c r="E19" s="5">
        <v>12181488</v>
      </c>
      <c r="F19" s="5">
        <v>2427324</v>
      </c>
      <c r="G19" s="5">
        <v>847571</v>
      </c>
      <c r="H19" s="5">
        <f t="shared" si="0"/>
        <v>423785.5</v>
      </c>
      <c r="I19" s="16">
        <f t="shared" si="1"/>
        <v>3015716.85</v>
      </c>
      <c r="J19" s="16">
        <f t="shared" si="2"/>
        <v>33172885.35</v>
      </c>
      <c r="K19" s="16">
        <f t="shared" si="3"/>
        <v>35937292.462500006</v>
      </c>
      <c r="L19" s="98">
        <f t="shared" si="4"/>
        <v>16207718900.587503</v>
      </c>
      <c r="M19" s="99"/>
    </row>
    <row r="20" spans="2:13" ht="18" customHeight="1">
      <c r="B20" s="97">
        <v>5</v>
      </c>
      <c r="C20" s="14">
        <v>287</v>
      </c>
      <c r="D20" s="5">
        <v>15285000</v>
      </c>
      <c r="E20" s="5">
        <v>12273408</v>
      </c>
      <c r="F20" s="5">
        <v>2697036</v>
      </c>
      <c r="G20" s="5">
        <v>971058</v>
      </c>
      <c r="H20" s="5">
        <f t="shared" si="0"/>
        <v>485529</v>
      </c>
      <c r="I20" s="16">
        <f t="shared" si="1"/>
        <v>3171203.1</v>
      </c>
      <c r="J20" s="16">
        <f t="shared" si="2"/>
        <v>34883234.1</v>
      </c>
      <c r="K20" s="16">
        <f t="shared" si="3"/>
        <v>37790170.275000006</v>
      </c>
      <c r="L20" s="98">
        <f t="shared" si="4"/>
        <v>10845778868.925001</v>
      </c>
      <c r="M20" s="99"/>
    </row>
    <row r="21" spans="2:13" ht="18" customHeight="1">
      <c r="B21" s="97" t="s">
        <v>176</v>
      </c>
      <c r="C21" s="14">
        <v>209</v>
      </c>
      <c r="D21" s="5">
        <v>15729000</v>
      </c>
      <c r="E21" s="5">
        <v>12285936</v>
      </c>
      <c r="F21" s="5">
        <v>2697036</v>
      </c>
      <c r="G21" s="5">
        <v>971058</v>
      </c>
      <c r="H21" s="5">
        <f t="shared" si="0"/>
        <v>485529</v>
      </c>
      <c r="I21" s="16">
        <f t="shared" si="1"/>
        <v>3216855.9000000004</v>
      </c>
      <c r="J21" s="16">
        <f t="shared" si="2"/>
        <v>35385414.9</v>
      </c>
      <c r="K21" s="16">
        <f t="shared" si="3"/>
        <v>38334199.474999994</v>
      </c>
      <c r="L21" s="98">
        <f t="shared" si="4"/>
        <v>8011847690.274999</v>
      </c>
      <c r="M21" s="99"/>
    </row>
    <row r="22" spans="2:13" ht="18" customHeight="1">
      <c r="B22" s="97">
        <v>6</v>
      </c>
      <c r="C22" s="14">
        <v>180</v>
      </c>
      <c r="D22" s="5">
        <v>16695000</v>
      </c>
      <c r="E22" s="5">
        <v>12355440</v>
      </c>
      <c r="F22" s="5">
        <v>2697036</v>
      </c>
      <c r="G22" s="5">
        <v>1072093</v>
      </c>
      <c r="H22" s="5">
        <f t="shared" si="0"/>
        <v>536046.5</v>
      </c>
      <c r="I22" s="16">
        <f t="shared" si="1"/>
        <v>3335561.5500000003</v>
      </c>
      <c r="J22" s="16">
        <f t="shared" si="2"/>
        <v>36691177.05</v>
      </c>
      <c r="K22" s="16">
        <f t="shared" si="3"/>
        <v>39748775.137499996</v>
      </c>
      <c r="L22" s="98">
        <f t="shared" si="4"/>
        <v>7154779524.749999</v>
      </c>
      <c r="M22" s="99"/>
    </row>
    <row r="23" spans="2:13" ht="18" customHeight="1">
      <c r="B23" s="97" t="s">
        <v>177</v>
      </c>
      <c r="C23" s="14">
        <v>269</v>
      </c>
      <c r="D23" s="5">
        <v>17495000</v>
      </c>
      <c r="E23" s="5">
        <v>12378036</v>
      </c>
      <c r="F23" s="5">
        <v>2697036</v>
      </c>
      <c r="G23" s="5">
        <v>1072093</v>
      </c>
      <c r="H23" s="5">
        <f t="shared" si="0"/>
        <v>536046.5</v>
      </c>
      <c r="I23" s="16">
        <f t="shared" si="1"/>
        <v>3417821.1500000004</v>
      </c>
      <c r="J23" s="16">
        <f t="shared" si="2"/>
        <v>37596032.65</v>
      </c>
      <c r="K23" s="16">
        <f t="shared" si="3"/>
        <v>40729035.37083333</v>
      </c>
      <c r="L23" s="98">
        <f t="shared" si="4"/>
        <v>10956110514.754166</v>
      </c>
      <c r="M23" s="99"/>
    </row>
    <row r="24" spans="2:13" ht="18" customHeight="1">
      <c r="B24" s="97">
        <v>7</v>
      </c>
      <c r="C24" s="14">
        <v>154</v>
      </c>
      <c r="D24" s="5">
        <v>19259000</v>
      </c>
      <c r="E24" s="5">
        <v>12500220</v>
      </c>
      <c r="F24" s="5">
        <v>3371304</v>
      </c>
      <c r="G24" s="5">
        <v>1324681</v>
      </c>
      <c r="H24" s="5">
        <f t="shared" si="0"/>
        <v>662340.5</v>
      </c>
      <c r="I24" s="16">
        <f t="shared" si="1"/>
        <v>3711754.5500000003</v>
      </c>
      <c r="J24" s="16">
        <f t="shared" si="2"/>
        <v>40829300.05</v>
      </c>
      <c r="K24" s="16">
        <f t="shared" si="3"/>
        <v>44231741.72083333</v>
      </c>
      <c r="L24" s="98">
        <f t="shared" si="4"/>
        <v>6811688225.008333</v>
      </c>
      <c r="M24" s="99"/>
    </row>
    <row r="25" spans="2:13" ht="18" customHeight="1">
      <c r="B25" s="97" t="s">
        <v>178</v>
      </c>
      <c r="C25" s="14">
        <v>39</v>
      </c>
      <c r="D25" s="5">
        <v>21159000</v>
      </c>
      <c r="E25" s="5">
        <v>12553920</v>
      </c>
      <c r="F25" s="5">
        <v>3371304</v>
      </c>
      <c r="G25" s="5">
        <v>1324681</v>
      </c>
      <c r="H25" s="5">
        <f t="shared" si="0"/>
        <v>662340.5</v>
      </c>
      <c r="I25" s="16">
        <f t="shared" si="1"/>
        <v>3907124.5500000003</v>
      </c>
      <c r="J25" s="16">
        <f t="shared" si="2"/>
        <v>42978370.05</v>
      </c>
      <c r="K25" s="16">
        <f t="shared" si="3"/>
        <v>46559900.887499996</v>
      </c>
      <c r="L25" s="98">
        <f t="shared" si="4"/>
        <v>1815836134.6124997</v>
      </c>
      <c r="M25" s="99"/>
    </row>
    <row r="26" spans="2:13" ht="18" customHeight="1" thickBot="1">
      <c r="B26" s="100">
        <v>8</v>
      </c>
      <c r="C26" s="101">
        <v>42</v>
      </c>
      <c r="D26" s="49">
        <v>24455000</v>
      </c>
      <c r="E26" s="49">
        <v>12846312</v>
      </c>
      <c r="F26" s="49">
        <v>4045560</v>
      </c>
      <c r="G26" s="49">
        <v>1677077</v>
      </c>
      <c r="H26" s="49">
        <f t="shared" si="0"/>
        <v>838538.5</v>
      </c>
      <c r="I26" s="77">
        <f t="shared" si="1"/>
        <v>4386248.75</v>
      </c>
      <c r="J26" s="77">
        <f t="shared" si="2"/>
        <v>48248736.25</v>
      </c>
      <c r="K26" s="77">
        <f t="shared" si="3"/>
        <v>52269464.270833336</v>
      </c>
      <c r="L26" s="102">
        <f t="shared" si="4"/>
        <v>2195317499.375</v>
      </c>
      <c r="M26" s="99"/>
    </row>
    <row r="27" spans="2:13" ht="18" customHeight="1" thickBot="1">
      <c r="B27" s="103" t="s">
        <v>153</v>
      </c>
      <c r="C27" s="104">
        <f aca="true" t="shared" si="5" ref="C27:L27">SUM(C12:C26)</f>
        <v>2149</v>
      </c>
      <c r="D27" s="105">
        <f t="shared" si="5"/>
        <v>227257000</v>
      </c>
      <c r="E27" s="105">
        <f t="shared" si="5"/>
        <v>183687504</v>
      </c>
      <c r="F27" s="105">
        <f t="shared" si="5"/>
        <v>40994904</v>
      </c>
      <c r="G27" s="105">
        <f t="shared" si="5"/>
        <v>14163407</v>
      </c>
      <c r="H27" s="105">
        <f t="shared" si="5"/>
        <v>7081703.5</v>
      </c>
      <c r="I27" s="105">
        <f t="shared" si="5"/>
        <v>47318451.85</v>
      </c>
      <c r="J27" s="106">
        <f t="shared" si="5"/>
        <v>520502970.34999996</v>
      </c>
      <c r="K27" s="105">
        <f t="shared" si="5"/>
        <v>563878217.8791666</v>
      </c>
      <c r="L27" s="107">
        <f t="shared" si="5"/>
        <v>81899939076.90834</v>
      </c>
      <c r="M27" s="99"/>
    </row>
    <row r="30" spans="2:12" ht="13.5" thickBot="1">
      <c r="B30" s="189" t="s">
        <v>207</v>
      </c>
      <c r="C30" s="189"/>
      <c r="D30" s="189"/>
      <c r="E30" s="189"/>
      <c r="F30" s="189"/>
      <c r="G30" s="189"/>
      <c r="H30" s="189"/>
      <c r="I30" s="189"/>
      <c r="J30" s="189"/>
      <c r="K30" s="189"/>
      <c r="L30" s="189"/>
    </row>
    <row r="31" spans="2:12" ht="13.5" thickBot="1">
      <c r="B31" s="143">
        <v>4</v>
      </c>
      <c r="C31" s="145">
        <v>180</v>
      </c>
      <c r="D31" s="146">
        <v>13741000</v>
      </c>
      <c r="E31" s="146">
        <v>12166344</v>
      </c>
      <c r="F31" s="146">
        <v>2427324</v>
      </c>
      <c r="G31" s="146">
        <v>847571</v>
      </c>
      <c r="H31" s="146">
        <f>G31-G31/2</f>
        <v>423785.5</v>
      </c>
      <c r="I31" s="147">
        <f>SUM(D31+E31+F31+G31+H31)*0.1</f>
        <v>2960602.45</v>
      </c>
      <c r="J31" s="147">
        <f>SUM(D31:I31)</f>
        <v>32566626.95</v>
      </c>
      <c r="K31" s="147">
        <f>J31/12*13</f>
        <v>35280512.52916667</v>
      </c>
      <c r="L31" s="148">
        <f>C31*K31</f>
        <v>6350492255.25</v>
      </c>
    </row>
    <row r="32" ht="13.5" thickBot="1"/>
    <row r="33" spans="11:12" ht="13.5" thickBot="1">
      <c r="K33" s="149" t="s">
        <v>153</v>
      </c>
      <c r="L33" s="150">
        <f>L27+L31</f>
        <v>88250431332.15834</v>
      </c>
    </row>
    <row r="34" ht="12.75">
      <c r="G34" s="1"/>
    </row>
    <row r="35" spans="2:9" ht="15.75">
      <c r="B35" s="151" t="s">
        <v>179</v>
      </c>
      <c r="C35" s="152"/>
      <c r="D35" s="152"/>
      <c r="E35" s="152"/>
      <c r="F35" s="152"/>
      <c r="G35" s="153">
        <v>1</v>
      </c>
      <c r="H35" s="154" t="s">
        <v>180</v>
      </c>
      <c r="I35" s="155">
        <f>L33*G35/100</f>
        <v>882504313.3215834</v>
      </c>
    </row>
    <row r="36" spans="7:9" ht="12.75">
      <c r="G36" s="65"/>
      <c r="H36" s="65"/>
      <c r="I36" s="65"/>
    </row>
    <row r="37" spans="3:9" ht="12.75">
      <c r="C37" s="1"/>
      <c r="D37" s="1"/>
      <c r="E37" s="1"/>
      <c r="G37" s="65"/>
      <c r="H37" s="65"/>
      <c r="I37" s="65"/>
    </row>
    <row r="38" spans="5:9" ht="12.75">
      <c r="E38" s="1"/>
      <c r="G38" s="65"/>
      <c r="H38" s="65"/>
      <c r="I38" s="65"/>
    </row>
    <row r="39" spans="4:12" ht="12.75">
      <c r="D39" s="1"/>
      <c r="E39" s="1"/>
      <c r="F39" s="1"/>
      <c r="G39" s="65"/>
      <c r="H39" s="65"/>
      <c r="I39" s="65"/>
      <c r="J39" s="1"/>
      <c r="L39" s="1"/>
    </row>
    <row r="40" spans="5:9" ht="12.75">
      <c r="E40" s="1"/>
      <c r="G40" s="65"/>
      <c r="H40" s="65"/>
      <c r="I40" s="65"/>
    </row>
    <row r="41" spans="2:13" ht="15"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</row>
    <row r="42" spans="5:9" ht="12.75">
      <c r="E42" s="1"/>
      <c r="G42" s="65"/>
      <c r="H42" s="65"/>
      <c r="I42" s="65"/>
    </row>
    <row r="43" spans="5:9" ht="12.75">
      <c r="E43" s="1"/>
      <c r="G43" s="65"/>
      <c r="H43" s="65"/>
      <c r="I43" s="65"/>
    </row>
    <row r="44" spans="5:9" ht="12.75">
      <c r="E44" s="1"/>
      <c r="G44" s="65"/>
      <c r="H44" s="65"/>
      <c r="I44" s="65"/>
    </row>
    <row r="45" spans="5:9" ht="12.75">
      <c r="E45" s="1"/>
      <c r="G45" s="65"/>
      <c r="H45" s="65"/>
      <c r="I45" s="65"/>
    </row>
    <row r="46" spans="5:9" ht="12.75">
      <c r="E46" s="1"/>
      <c r="G46" s="65"/>
      <c r="H46" s="65"/>
      <c r="I46" s="65"/>
    </row>
    <row r="47" spans="5:9" ht="12.75">
      <c r="E47" s="1"/>
      <c r="G47" s="65"/>
      <c r="H47" s="65"/>
      <c r="I47" s="65"/>
    </row>
    <row r="48" spans="5:9" ht="12.75">
      <c r="E48" s="1"/>
      <c r="G48" s="65"/>
      <c r="H48" s="65"/>
      <c r="I48" s="65"/>
    </row>
    <row r="49" spans="5:9" ht="12.75">
      <c r="E49" s="1"/>
      <c r="G49" s="65"/>
      <c r="H49" s="65"/>
      <c r="I49" s="65"/>
    </row>
    <row r="50" spans="5:9" ht="12.75">
      <c r="E50" s="1"/>
      <c r="G50" s="65"/>
      <c r="H50" s="65"/>
      <c r="I50" s="65"/>
    </row>
    <row r="51" spans="5:9" ht="12.75">
      <c r="E51" s="1"/>
      <c r="G51" s="65"/>
      <c r="H51" s="65"/>
      <c r="I51" s="65"/>
    </row>
    <row r="52" spans="5:9" ht="12.75">
      <c r="E52" s="1"/>
      <c r="G52" s="65"/>
      <c r="H52" s="65"/>
      <c r="I52" s="65"/>
    </row>
    <row r="53" spans="5:9" ht="12.75">
      <c r="E53" s="1"/>
      <c r="G53" s="65"/>
      <c r="H53" s="65"/>
      <c r="I53" s="65"/>
    </row>
    <row r="54" ht="12.75">
      <c r="E54" s="1"/>
    </row>
  </sheetData>
  <mergeCells count="6">
    <mergeCell ref="B3:L3"/>
    <mergeCell ref="B41:M41"/>
    <mergeCell ref="B5:L5"/>
    <mergeCell ref="B6:L6"/>
    <mergeCell ref="B9:L9"/>
    <mergeCell ref="B30:L30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85"/>
  <sheetViews>
    <sheetView workbookViewId="0" topLeftCell="A1">
      <selection activeCell="A21" sqref="A21:IV21"/>
    </sheetView>
  </sheetViews>
  <sheetFormatPr defaultColWidth="9.140625" defaultRowHeight="12.75"/>
  <cols>
    <col min="1" max="1" width="6.8515625" style="1" customWidth="1"/>
    <col min="2" max="2" width="14.8515625" style="23" bestFit="1" customWidth="1"/>
    <col min="3" max="3" width="13.7109375" style="1" customWidth="1"/>
    <col min="4" max="4" width="14.00390625" style="1" customWidth="1"/>
    <col min="5" max="5" width="16.7109375" style="23" hidden="1" customWidth="1"/>
    <col min="6" max="6" width="10.28125" style="1" hidden="1" customWidth="1"/>
    <col min="7" max="7" width="11.57421875" style="1" hidden="1" customWidth="1"/>
    <col min="8" max="9" width="0" style="1" hidden="1" customWidth="1"/>
    <col min="10" max="11" width="12.7109375" style="1" bestFit="1" customWidth="1"/>
    <col min="12" max="16384" width="9.140625" style="1" customWidth="1"/>
  </cols>
  <sheetData>
    <row r="1" ht="12.75">
      <c r="A1" s="41" t="s">
        <v>40</v>
      </c>
    </row>
    <row r="2" spans="1:11" ht="20.25">
      <c r="A2" s="177" t="s">
        <v>22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</row>
    <row r="3" spans="1:4" ht="18">
      <c r="A3" s="33"/>
      <c r="B3" s="33"/>
      <c r="C3" s="33"/>
      <c r="D3" s="33"/>
    </row>
    <row r="4" spans="1:11" ht="15">
      <c r="A4" s="175" t="s">
        <v>16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</row>
    <row r="5" spans="1:11" ht="15">
      <c r="A5" s="176" t="s">
        <v>25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</row>
    <row r="6" spans="1:11" ht="15">
      <c r="A6" s="175" t="s">
        <v>26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</row>
    <row r="7" spans="1:11" ht="15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</row>
    <row r="8" spans="1:11" ht="13.5" thickBot="1">
      <c r="A8" s="174" t="s">
        <v>206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</row>
    <row r="9" spans="1:5" ht="13.5" hidden="1" thickBot="1">
      <c r="A9" s="19"/>
      <c r="B9" s="20"/>
      <c r="C9" s="31">
        <v>0.39</v>
      </c>
      <c r="D9" s="20"/>
      <c r="E9" s="20"/>
    </row>
    <row r="10" spans="1:11" ht="77.25" thickBot="1">
      <c r="A10" s="29" t="s">
        <v>21</v>
      </c>
      <c r="B10" s="28" t="s">
        <v>31</v>
      </c>
      <c r="C10" s="30" t="s">
        <v>219</v>
      </c>
      <c r="D10" s="30" t="s">
        <v>220</v>
      </c>
      <c r="E10" s="32" t="s">
        <v>24</v>
      </c>
      <c r="F10" s="24" t="s">
        <v>19</v>
      </c>
      <c r="G10" s="21" t="s">
        <v>20</v>
      </c>
      <c r="H10" s="22" t="s">
        <v>18</v>
      </c>
      <c r="J10" s="30" t="s">
        <v>14</v>
      </c>
      <c r="K10" s="30" t="s">
        <v>76</v>
      </c>
    </row>
    <row r="11" spans="1:11" ht="12.75">
      <c r="A11" s="25">
        <v>1</v>
      </c>
      <c r="B11" s="25">
        <v>36000</v>
      </c>
      <c r="C11" s="25">
        <f aca="true" t="shared" si="0" ref="C11:C18">B11+(B11*$C$9)</f>
        <v>50040</v>
      </c>
      <c r="D11" s="25">
        <f aca="true" t="shared" si="1" ref="D11:D18">C11*3</f>
        <v>150120</v>
      </c>
      <c r="E11" s="25">
        <f>H11</f>
        <v>0</v>
      </c>
      <c r="F11" s="14">
        <v>0</v>
      </c>
      <c r="G11" s="14"/>
      <c r="H11" s="5">
        <f aca="true" t="shared" si="2" ref="H11:H18">SUM(F11:G11)</f>
        <v>0</v>
      </c>
      <c r="J11" s="47">
        <v>7</v>
      </c>
      <c r="K11" s="47">
        <f aca="true" t="shared" si="3" ref="K11:K18">D11*J11</f>
        <v>1050840</v>
      </c>
    </row>
    <row r="12" spans="1:11" ht="12.75">
      <c r="A12" s="14">
        <v>2</v>
      </c>
      <c r="B12" s="14">
        <v>36000</v>
      </c>
      <c r="C12" s="25">
        <f t="shared" si="0"/>
        <v>50040</v>
      </c>
      <c r="D12" s="25">
        <f t="shared" si="1"/>
        <v>150120</v>
      </c>
      <c r="E12" s="14">
        <v>2</v>
      </c>
      <c r="F12" s="14">
        <v>4</v>
      </c>
      <c r="G12" s="14"/>
      <c r="H12" s="5">
        <f t="shared" si="2"/>
        <v>4</v>
      </c>
      <c r="J12" s="5">
        <v>9</v>
      </c>
      <c r="K12" s="5">
        <f t="shared" si="3"/>
        <v>1351080</v>
      </c>
    </row>
    <row r="13" spans="1:11" ht="12.75">
      <c r="A13" s="14">
        <v>3</v>
      </c>
      <c r="B13" s="14">
        <v>36000</v>
      </c>
      <c r="C13" s="25">
        <f t="shared" si="0"/>
        <v>50040</v>
      </c>
      <c r="D13" s="25">
        <f t="shared" si="1"/>
        <v>150120</v>
      </c>
      <c r="E13" s="14">
        <v>337</v>
      </c>
      <c r="F13" s="14">
        <v>335</v>
      </c>
      <c r="G13" s="14"/>
      <c r="H13" s="5">
        <f t="shared" si="2"/>
        <v>335</v>
      </c>
      <c r="J13" s="5">
        <v>201</v>
      </c>
      <c r="K13" s="5">
        <f t="shared" si="3"/>
        <v>30174120</v>
      </c>
    </row>
    <row r="14" spans="1:11" ht="12.75">
      <c r="A14" s="14">
        <v>4</v>
      </c>
      <c r="B14" s="14">
        <v>40000</v>
      </c>
      <c r="C14" s="25">
        <f t="shared" si="0"/>
        <v>55600</v>
      </c>
      <c r="D14" s="25">
        <f t="shared" si="1"/>
        <v>166800</v>
      </c>
      <c r="E14" s="14">
        <f>H14</f>
        <v>277</v>
      </c>
      <c r="F14" s="14">
        <v>277</v>
      </c>
      <c r="G14" s="14"/>
      <c r="H14" s="5">
        <f t="shared" si="2"/>
        <v>277</v>
      </c>
      <c r="J14" s="5">
        <v>752</v>
      </c>
      <c r="K14" s="5">
        <f t="shared" si="3"/>
        <v>125433600</v>
      </c>
    </row>
    <row r="15" spans="1:11" ht="12.75">
      <c r="A15" s="14">
        <v>5</v>
      </c>
      <c r="B15" s="14">
        <v>40000</v>
      </c>
      <c r="C15" s="25">
        <f t="shared" si="0"/>
        <v>55600</v>
      </c>
      <c r="D15" s="25">
        <f t="shared" si="1"/>
        <v>166800</v>
      </c>
      <c r="E15" s="14">
        <f>H15</f>
        <v>661</v>
      </c>
      <c r="F15" s="14">
        <v>644</v>
      </c>
      <c r="G15" s="14">
        <v>17</v>
      </c>
      <c r="H15" s="5">
        <f t="shared" si="2"/>
        <v>661</v>
      </c>
      <c r="J15" s="5">
        <v>496</v>
      </c>
      <c r="K15" s="5">
        <f t="shared" si="3"/>
        <v>82732800</v>
      </c>
    </row>
    <row r="16" spans="1:11" ht="12.75">
      <c r="A16" s="14">
        <v>6</v>
      </c>
      <c r="B16" s="14">
        <v>42000</v>
      </c>
      <c r="C16" s="25">
        <f t="shared" si="0"/>
        <v>58380</v>
      </c>
      <c r="D16" s="25">
        <f t="shared" si="1"/>
        <v>175140</v>
      </c>
      <c r="E16" s="14">
        <f>H16</f>
        <v>120</v>
      </c>
      <c r="F16" s="14">
        <v>119</v>
      </c>
      <c r="G16" s="14">
        <v>1</v>
      </c>
      <c r="H16" s="5">
        <f t="shared" si="2"/>
        <v>120</v>
      </c>
      <c r="J16" s="5">
        <v>449</v>
      </c>
      <c r="K16" s="5">
        <f t="shared" si="3"/>
        <v>78637860</v>
      </c>
    </row>
    <row r="17" spans="1:11" ht="12.75">
      <c r="A17" s="14">
        <v>7</v>
      </c>
      <c r="B17" s="14">
        <v>54000</v>
      </c>
      <c r="C17" s="25">
        <f t="shared" si="0"/>
        <v>75060</v>
      </c>
      <c r="D17" s="25">
        <f t="shared" si="1"/>
        <v>225180</v>
      </c>
      <c r="E17" s="14">
        <f>H17</f>
        <v>753</v>
      </c>
      <c r="F17" s="14">
        <v>736</v>
      </c>
      <c r="G17" s="14">
        <v>17</v>
      </c>
      <c r="H17" s="5">
        <f t="shared" si="2"/>
        <v>753</v>
      </c>
      <c r="J17" s="5">
        <v>193</v>
      </c>
      <c r="K17" s="5">
        <f t="shared" si="3"/>
        <v>43459740</v>
      </c>
    </row>
    <row r="18" spans="1:11" ht="12.75">
      <c r="A18" s="14">
        <v>8</v>
      </c>
      <c r="B18" s="14">
        <v>54000</v>
      </c>
      <c r="C18" s="25">
        <f t="shared" si="0"/>
        <v>75060</v>
      </c>
      <c r="D18" s="25">
        <f t="shared" si="1"/>
        <v>225180</v>
      </c>
      <c r="E18" s="14">
        <f>H18</f>
        <v>224</v>
      </c>
      <c r="F18" s="14">
        <v>223</v>
      </c>
      <c r="G18" s="14">
        <v>1</v>
      </c>
      <c r="H18" s="5">
        <f t="shared" si="2"/>
        <v>224</v>
      </c>
      <c r="J18" s="5">
        <v>42</v>
      </c>
      <c r="K18" s="5">
        <f t="shared" si="3"/>
        <v>9457560</v>
      </c>
    </row>
    <row r="19" spans="1:11" ht="12.75">
      <c r="A19" s="13"/>
      <c r="B19" s="13"/>
      <c r="C19" s="13"/>
      <c r="D19" s="13"/>
      <c r="E19" s="13"/>
      <c r="F19" s="13"/>
      <c r="G19" s="13"/>
      <c r="H19" s="8"/>
      <c r="J19" s="16" t="s">
        <v>153</v>
      </c>
      <c r="K19" s="110">
        <f>SUM(K11:K18)</f>
        <v>372297600</v>
      </c>
    </row>
    <row r="20" spans="1:11" ht="12.75">
      <c r="A20" s="13"/>
      <c r="B20" s="13"/>
      <c r="C20" s="13"/>
      <c r="D20" s="13"/>
      <c r="E20" s="13"/>
      <c r="F20" s="13"/>
      <c r="G20" s="13"/>
      <c r="H20" s="8"/>
      <c r="J20" s="8"/>
      <c r="K20" s="8"/>
    </row>
    <row r="21" spans="1:11" ht="12.75" hidden="1">
      <c r="A21" s="13"/>
      <c r="B21" s="13"/>
      <c r="C21" s="31">
        <v>0.37</v>
      </c>
      <c r="D21" s="13"/>
      <c r="E21" s="13"/>
      <c r="F21" s="13"/>
      <c r="G21" s="13"/>
      <c r="H21" s="8"/>
      <c r="J21" s="8"/>
      <c r="K21" s="8"/>
    </row>
    <row r="22" spans="1:11" ht="13.5" thickBot="1">
      <c r="A22" s="173" t="s">
        <v>207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</row>
    <row r="23" spans="1:11" ht="77.25" thickBot="1">
      <c r="A23" s="29" t="s">
        <v>21</v>
      </c>
      <c r="B23" s="28" t="s">
        <v>31</v>
      </c>
      <c r="C23" s="30" t="s">
        <v>276</v>
      </c>
      <c r="D23" s="30" t="s">
        <v>277</v>
      </c>
      <c r="E23" s="32" t="s">
        <v>24</v>
      </c>
      <c r="F23" s="116" t="s">
        <v>19</v>
      </c>
      <c r="G23" s="158" t="s">
        <v>20</v>
      </c>
      <c r="H23" s="159" t="s">
        <v>18</v>
      </c>
      <c r="I23" s="156"/>
      <c r="J23" s="30" t="s">
        <v>14</v>
      </c>
      <c r="K23" s="30" t="s">
        <v>76</v>
      </c>
    </row>
    <row r="24" spans="1:11" ht="12.75">
      <c r="A24" s="25">
        <v>4</v>
      </c>
      <c r="B24" s="25">
        <v>40000</v>
      </c>
      <c r="C24" s="25">
        <f>B24+(B24*$C$21)</f>
        <v>54800</v>
      </c>
      <c r="D24" s="25">
        <f>C24*3</f>
        <v>164400</v>
      </c>
      <c r="E24" s="25">
        <f>H24</f>
        <v>277</v>
      </c>
      <c r="F24" s="25">
        <v>277</v>
      </c>
      <c r="G24" s="25"/>
      <c r="H24" s="47">
        <f>SUM(F24:G24)</f>
        <v>277</v>
      </c>
      <c r="J24" s="47">
        <v>180</v>
      </c>
      <c r="K24" s="47">
        <f>D24*J24</f>
        <v>29592000</v>
      </c>
    </row>
    <row r="25" spans="1:11" ht="12.75">
      <c r="A25" s="13"/>
      <c r="B25" s="13"/>
      <c r="C25" s="13"/>
      <c r="D25" s="13"/>
      <c r="E25" s="13"/>
      <c r="F25" s="13"/>
      <c r="G25" s="13"/>
      <c r="H25" s="8"/>
      <c r="J25" s="5" t="s">
        <v>153</v>
      </c>
      <c r="K25" s="5">
        <f>K24</f>
        <v>29592000</v>
      </c>
    </row>
    <row r="26" spans="1:8" ht="13.5" thickBot="1">
      <c r="A26" s="13"/>
      <c r="B26" s="13"/>
      <c r="C26" s="13"/>
      <c r="D26" s="13"/>
      <c r="E26" s="13">
        <f>SUM(E11:E18)</f>
        <v>2374</v>
      </c>
      <c r="F26" s="23">
        <f>SUM(F11:F18)</f>
        <v>2338</v>
      </c>
      <c r="G26" s="23">
        <f>SUM(G11:G18)</f>
        <v>36</v>
      </c>
      <c r="H26" s="1">
        <f>SUM(H11:H18)</f>
        <v>2374</v>
      </c>
    </row>
    <row r="27" spans="1:11" ht="13.5" thickBot="1">
      <c r="A27" s="8"/>
      <c r="B27" s="13"/>
      <c r="C27" s="8"/>
      <c r="D27" s="8"/>
      <c r="E27" s="13"/>
      <c r="J27" s="117" t="s">
        <v>153</v>
      </c>
      <c r="K27" s="118">
        <f>K19+K25</f>
        <v>401889600</v>
      </c>
    </row>
    <row r="28" spans="1:11" ht="12.75">
      <c r="A28" s="8"/>
      <c r="B28" s="13"/>
      <c r="C28" s="8"/>
      <c r="D28" s="8"/>
      <c r="E28" s="13"/>
      <c r="J28" s="8"/>
      <c r="K28" s="8"/>
    </row>
    <row r="29" spans="1:5" ht="12.75">
      <c r="A29" s="41" t="s">
        <v>43</v>
      </c>
      <c r="B29" s="13"/>
      <c r="C29" s="8"/>
      <c r="D29" s="8"/>
      <c r="E29" s="13"/>
    </row>
    <row r="30" spans="1:11" ht="20.25">
      <c r="A30" s="177" t="s">
        <v>22</v>
      </c>
      <c r="B30" s="177"/>
      <c r="C30" s="177"/>
      <c r="D30" s="177"/>
      <c r="E30" s="177"/>
      <c r="F30" s="177"/>
      <c r="G30" s="177"/>
      <c r="H30" s="177"/>
      <c r="I30" s="177"/>
      <c r="J30" s="177"/>
      <c r="K30" s="177"/>
    </row>
    <row r="31" spans="1:11" ht="18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</row>
    <row r="32" spans="1:11" ht="15">
      <c r="A32" s="175" t="s">
        <v>16</v>
      </c>
      <c r="B32" s="175"/>
      <c r="C32" s="175"/>
      <c r="D32" s="175"/>
      <c r="E32" s="175"/>
      <c r="F32" s="175"/>
      <c r="G32" s="175"/>
      <c r="H32" s="175"/>
      <c r="I32" s="175"/>
      <c r="J32" s="175"/>
      <c r="K32" s="175"/>
    </row>
    <row r="33" spans="1:11" ht="15">
      <c r="A33" s="176" t="s">
        <v>25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</row>
    <row r="34" spans="1:11" ht="15">
      <c r="A34" s="175" t="s">
        <v>27</v>
      </c>
      <c r="B34" s="175"/>
      <c r="C34" s="175"/>
      <c r="D34" s="175"/>
      <c r="E34" s="175"/>
      <c r="F34" s="175"/>
      <c r="G34" s="175"/>
      <c r="H34" s="175"/>
      <c r="I34" s="175"/>
      <c r="J34" s="175"/>
      <c r="K34" s="175"/>
    </row>
    <row r="35" spans="1:11" ht="1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</row>
    <row r="36" spans="1:11" ht="13.5" thickBot="1">
      <c r="A36" s="180" t="s">
        <v>206</v>
      </c>
      <c r="B36" s="180"/>
      <c r="C36" s="180"/>
      <c r="D36" s="180"/>
      <c r="E36" s="180"/>
      <c r="F36" s="180"/>
      <c r="G36" s="180"/>
      <c r="H36" s="180"/>
      <c r="I36" s="180"/>
      <c r="J36" s="180"/>
      <c r="K36" s="180"/>
    </row>
    <row r="37" spans="1:11" ht="77.25" thickBot="1">
      <c r="A37" s="29" t="s">
        <v>21</v>
      </c>
      <c r="B37" s="28" t="s">
        <v>30</v>
      </c>
      <c r="C37" s="30" t="s">
        <v>219</v>
      </c>
      <c r="D37" s="30" t="s">
        <v>221</v>
      </c>
      <c r="H37" s="1">
        <f>SUM(E11:E18)</f>
        <v>2374</v>
      </c>
      <c r="J37" s="30" t="s">
        <v>14</v>
      </c>
      <c r="K37" s="30" t="s">
        <v>64</v>
      </c>
    </row>
    <row r="38" spans="1:11" ht="12.75">
      <c r="A38" s="25">
        <v>1</v>
      </c>
      <c r="B38" s="25">
        <v>36000</v>
      </c>
      <c r="C38" s="25">
        <f aca="true" t="shared" si="4" ref="C38:C45">B38+(B38*$C$9)</f>
        <v>50040</v>
      </c>
      <c r="D38" s="25">
        <f aca="true" t="shared" si="5" ref="D38:D45">C38*13</f>
        <v>650520</v>
      </c>
      <c r="J38" s="47">
        <v>7</v>
      </c>
      <c r="K38" s="47">
        <f aca="true" t="shared" si="6" ref="K38:K45">D38*J38</f>
        <v>4553640</v>
      </c>
    </row>
    <row r="39" spans="1:11" ht="12.75">
      <c r="A39" s="14">
        <v>2</v>
      </c>
      <c r="B39" s="14">
        <v>36000</v>
      </c>
      <c r="C39" s="25">
        <f t="shared" si="4"/>
        <v>50040</v>
      </c>
      <c r="D39" s="25">
        <f t="shared" si="5"/>
        <v>650520</v>
      </c>
      <c r="J39" s="5">
        <v>9</v>
      </c>
      <c r="K39" s="5">
        <f t="shared" si="6"/>
        <v>5854680</v>
      </c>
    </row>
    <row r="40" spans="1:11" ht="12.75">
      <c r="A40" s="14">
        <v>3</v>
      </c>
      <c r="B40" s="14">
        <v>36000</v>
      </c>
      <c r="C40" s="25">
        <f t="shared" si="4"/>
        <v>50040</v>
      </c>
      <c r="D40" s="25">
        <f t="shared" si="5"/>
        <v>650520</v>
      </c>
      <c r="J40" s="5">
        <v>201</v>
      </c>
      <c r="K40" s="5">
        <f t="shared" si="6"/>
        <v>130754520</v>
      </c>
    </row>
    <row r="41" spans="1:11" ht="12.75">
      <c r="A41" s="14">
        <v>4</v>
      </c>
      <c r="B41" s="14">
        <v>40000</v>
      </c>
      <c r="C41" s="25">
        <f t="shared" si="4"/>
        <v>55600</v>
      </c>
      <c r="D41" s="25">
        <f t="shared" si="5"/>
        <v>722800</v>
      </c>
      <c r="J41" s="5">
        <v>752</v>
      </c>
      <c r="K41" s="5">
        <f t="shared" si="6"/>
        <v>543545600</v>
      </c>
    </row>
    <row r="42" spans="1:11" ht="12.75">
      <c r="A42" s="14">
        <v>5</v>
      </c>
      <c r="B42" s="14">
        <v>40000</v>
      </c>
      <c r="C42" s="25">
        <f t="shared" si="4"/>
        <v>55600</v>
      </c>
      <c r="D42" s="25">
        <f t="shared" si="5"/>
        <v>722800</v>
      </c>
      <c r="J42" s="5">
        <v>496</v>
      </c>
      <c r="K42" s="5">
        <f t="shared" si="6"/>
        <v>358508800</v>
      </c>
    </row>
    <row r="43" spans="1:11" ht="12.75">
      <c r="A43" s="14">
        <v>6</v>
      </c>
      <c r="B43" s="14">
        <v>42000</v>
      </c>
      <c r="C43" s="25">
        <f t="shared" si="4"/>
        <v>58380</v>
      </c>
      <c r="D43" s="25">
        <f t="shared" si="5"/>
        <v>758940</v>
      </c>
      <c r="J43" s="5">
        <v>449</v>
      </c>
      <c r="K43" s="5">
        <f t="shared" si="6"/>
        <v>340764060</v>
      </c>
    </row>
    <row r="44" spans="1:11" ht="12.75">
      <c r="A44" s="14">
        <v>7</v>
      </c>
      <c r="B44" s="14">
        <v>54000</v>
      </c>
      <c r="C44" s="25">
        <f t="shared" si="4"/>
        <v>75060</v>
      </c>
      <c r="D44" s="25">
        <f t="shared" si="5"/>
        <v>975780</v>
      </c>
      <c r="J44" s="5">
        <v>193</v>
      </c>
      <c r="K44" s="5">
        <f t="shared" si="6"/>
        <v>188325540</v>
      </c>
    </row>
    <row r="45" spans="1:11" ht="12.75">
      <c r="A45" s="14">
        <v>8</v>
      </c>
      <c r="B45" s="14">
        <v>54000</v>
      </c>
      <c r="C45" s="25">
        <f t="shared" si="4"/>
        <v>75060</v>
      </c>
      <c r="D45" s="25">
        <f t="shared" si="5"/>
        <v>975780</v>
      </c>
      <c r="J45" s="5">
        <v>42</v>
      </c>
      <c r="K45" s="5">
        <f t="shared" si="6"/>
        <v>40982760</v>
      </c>
    </row>
    <row r="46" spans="1:11" ht="12.75">
      <c r="A46" s="13"/>
      <c r="B46" s="13"/>
      <c r="C46" s="13"/>
      <c r="D46" s="13"/>
      <c r="J46" s="5" t="s">
        <v>153</v>
      </c>
      <c r="K46" s="5">
        <f>SUM(K38:K45)</f>
        <v>1613289600</v>
      </c>
    </row>
    <row r="47" spans="1:4" ht="12.75">
      <c r="A47" s="13"/>
      <c r="B47" s="13"/>
      <c r="C47" s="13"/>
      <c r="D47" s="13"/>
    </row>
    <row r="48" spans="1:11" ht="13.5" thickBot="1">
      <c r="A48" s="173" t="s">
        <v>207</v>
      </c>
      <c r="B48" s="173"/>
      <c r="C48" s="173"/>
      <c r="D48" s="173"/>
      <c r="E48" s="173"/>
      <c r="F48" s="173"/>
      <c r="G48" s="173"/>
      <c r="H48" s="173"/>
      <c r="I48" s="173"/>
      <c r="J48" s="173"/>
      <c r="K48" s="173"/>
    </row>
    <row r="49" spans="1:11" ht="77.25" thickBot="1">
      <c r="A49" s="29" t="s">
        <v>21</v>
      </c>
      <c r="B49" s="28" t="s">
        <v>30</v>
      </c>
      <c r="C49" s="30" t="s">
        <v>276</v>
      </c>
      <c r="D49" s="30" t="s">
        <v>278</v>
      </c>
      <c r="E49" s="130"/>
      <c r="F49" s="156"/>
      <c r="G49" s="156"/>
      <c r="H49" s="156">
        <f>SUM(E24:E31)</f>
        <v>2651</v>
      </c>
      <c r="I49" s="156"/>
      <c r="J49" s="30" t="s">
        <v>14</v>
      </c>
      <c r="K49" s="30" t="s">
        <v>64</v>
      </c>
    </row>
    <row r="50" spans="1:11" ht="12.75">
      <c r="A50" s="14">
        <v>4</v>
      </c>
      <c r="B50" s="14">
        <v>40000</v>
      </c>
      <c r="C50" s="25">
        <f>B50+(B50*$C$21)</f>
        <v>54800</v>
      </c>
      <c r="D50" s="25">
        <f>C50*13</f>
        <v>712400</v>
      </c>
      <c r="J50" s="5">
        <v>180</v>
      </c>
      <c r="K50" s="5">
        <f>D50*J50</f>
        <v>128232000</v>
      </c>
    </row>
    <row r="51" spans="1:11" ht="12.75">
      <c r="A51" s="13"/>
      <c r="B51" s="13"/>
      <c r="C51" s="13"/>
      <c r="D51" s="13"/>
      <c r="J51" s="5" t="s">
        <v>153</v>
      </c>
      <c r="K51" s="5">
        <f>K50</f>
        <v>128232000</v>
      </c>
    </row>
    <row r="52" spans="1:4" ht="13.5" thickBot="1">
      <c r="A52" s="13"/>
      <c r="B52" s="13"/>
      <c r="C52" s="13"/>
      <c r="D52" s="13"/>
    </row>
    <row r="53" spans="1:11" ht="13.5" thickBot="1">
      <c r="A53" s="13"/>
      <c r="B53" s="13"/>
      <c r="C53" s="13"/>
      <c r="D53" s="13"/>
      <c r="J53" s="117" t="s">
        <v>153</v>
      </c>
      <c r="K53" s="118">
        <f>K46+K51</f>
        <v>1741521600</v>
      </c>
    </row>
    <row r="54" spans="1:4" ht="12.75">
      <c r="A54" s="13"/>
      <c r="B54" s="13"/>
      <c r="C54" s="13"/>
      <c r="D54" s="13"/>
    </row>
    <row r="55" spans="1:4" ht="12.75">
      <c r="A55" s="41" t="s">
        <v>45</v>
      </c>
      <c r="B55" s="13"/>
      <c r="C55" s="13"/>
      <c r="D55" s="13"/>
    </row>
    <row r="56" spans="1:11" ht="20.25">
      <c r="A56" s="177" t="s">
        <v>22</v>
      </c>
      <c r="B56" s="177"/>
      <c r="C56" s="177"/>
      <c r="D56" s="177"/>
      <c r="E56" s="177"/>
      <c r="F56" s="177"/>
      <c r="G56" s="177"/>
      <c r="H56" s="177"/>
      <c r="I56" s="177"/>
      <c r="J56" s="177"/>
      <c r="K56" s="177"/>
    </row>
    <row r="57" spans="1:4" ht="12.75">
      <c r="A57" s="41"/>
      <c r="B57" s="13"/>
      <c r="C57" s="13"/>
      <c r="D57" s="13"/>
    </row>
    <row r="58" spans="1:11" ht="15">
      <c r="A58" s="175" t="s">
        <v>16</v>
      </c>
      <c r="B58" s="175"/>
      <c r="C58" s="175"/>
      <c r="D58" s="175"/>
      <c r="E58" s="175"/>
      <c r="F58" s="175"/>
      <c r="G58" s="175"/>
      <c r="H58" s="175"/>
      <c r="I58" s="175"/>
      <c r="J58" s="175"/>
      <c r="K58" s="175"/>
    </row>
    <row r="59" spans="1:11" ht="15">
      <c r="A59" s="176" t="s">
        <v>29</v>
      </c>
      <c r="B59" s="176"/>
      <c r="C59" s="176"/>
      <c r="D59" s="176"/>
      <c r="E59" s="176"/>
      <c r="F59" s="176"/>
      <c r="G59" s="176"/>
      <c r="H59" s="176"/>
      <c r="I59" s="176"/>
      <c r="J59" s="176"/>
      <c r="K59" s="176"/>
    </row>
    <row r="60" spans="1:11" ht="15">
      <c r="A60" s="175" t="s">
        <v>28</v>
      </c>
      <c r="B60" s="175"/>
      <c r="C60" s="175"/>
      <c r="D60" s="175"/>
      <c r="E60" s="175"/>
      <c r="F60" s="175"/>
      <c r="G60" s="175"/>
      <c r="H60" s="175"/>
      <c r="I60" s="175"/>
      <c r="J60" s="175"/>
      <c r="K60" s="175"/>
    </row>
    <row r="61" spans="1:11" ht="1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</row>
    <row r="62" spans="1:11" ht="13.5" thickBot="1">
      <c r="A62" s="180" t="s">
        <v>206</v>
      </c>
      <c r="B62" s="180"/>
      <c r="C62" s="180"/>
      <c r="D62" s="180"/>
      <c r="E62" s="180"/>
      <c r="F62" s="180"/>
      <c r="G62" s="180"/>
      <c r="H62" s="180"/>
      <c r="I62" s="180"/>
      <c r="J62" s="180"/>
      <c r="K62" s="180"/>
    </row>
    <row r="63" spans="1:11" ht="77.25" thickBot="1">
      <c r="A63" s="29" t="s">
        <v>21</v>
      </c>
      <c r="B63" s="28" t="s">
        <v>33</v>
      </c>
      <c r="C63" s="30" t="s">
        <v>219</v>
      </c>
      <c r="D63" s="30" t="s">
        <v>222</v>
      </c>
      <c r="J63" s="30" t="s">
        <v>14</v>
      </c>
      <c r="K63" s="30" t="s">
        <v>64</v>
      </c>
    </row>
    <row r="64" spans="1:11" ht="12.75">
      <c r="A64" s="25">
        <v>1</v>
      </c>
      <c r="B64" s="25">
        <v>30000</v>
      </c>
      <c r="C64" s="25">
        <f aca="true" t="shared" si="7" ref="C64:C71">B64+(B64*$C$9)</f>
        <v>41700</v>
      </c>
      <c r="D64" s="25">
        <f aca="true" t="shared" si="8" ref="D64:D71">C64*7</f>
        <v>291900</v>
      </c>
      <c r="J64" s="47">
        <v>7</v>
      </c>
      <c r="K64" s="47">
        <f aca="true" t="shared" si="9" ref="K64:K71">D64*J64</f>
        <v>2043300</v>
      </c>
    </row>
    <row r="65" spans="1:11" ht="12.75">
      <c r="A65" s="14">
        <v>2</v>
      </c>
      <c r="B65" s="14">
        <v>30000</v>
      </c>
      <c r="C65" s="25">
        <f t="shared" si="7"/>
        <v>41700</v>
      </c>
      <c r="D65" s="25">
        <f t="shared" si="8"/>
        <v>291900</v>
      </c>
      <c r="J65" s="5">
        <v>9</v>
      </c>
      <c r="K65" s="5">
        <f t="shared" si="9"/>
        <v>2627100</v>
      </c>
    </row>
    <row r="66" spans="1:11" ht="12.75">
      <c r="A66" s="14">
        <v>3</v>
      </c>
      <c r="B66" s="14">
        <v>30000</v>
      </c>
      <c r="C66" s="25">
        <f t="shared" si="7"/>
        <v>41700</v>
      </c>
      <c r="D66" s="25">
        <f t="shared" si="8"/>
        <v>291900</v>
      </c>
      <c r="J66" s="5">
        <v>201</v>
      </c>
      <c r="K66" s="5">
        <f t="shared" si="9"/>
        <v>58671900</v>
      </c>
    </row>
    <row r="67" spans="1:11" ht="12.75">
      <c r="A67" s="14">
        <v>4</v>
      </c>
      <c r="B67" s="14">
        <v>33000</v>
      </c>
      <c r="C67" s="25">
        <f t="shared" si="7"/>
        <v>45870</v>
      </c>
      <c r="D67" s="25">
        <f t="shared" si="8"/>
        <v>321090</v>
      </c>
      <c r="J67" s="5">
        <v>752</v>
      </c>
      <c r="K67" s="5">
        <f t="shared" si="9"/>
        <v>241459680</v>
      </c>
    </row>
    <row r="68" spans="1:11" ht="12.75">
      <c r="A68" s="14">
        <v>5</v>
      </c>
      <c r="B68" s="14">
        <v>33000</v>
      </c>
      <c r="C68" s="25">
        <f t="shared" si="7"/>
        <v>45870</v>
      </c>
      <c r="D68" s="25">
        <f t="shared" si="8"/>
        <v>321090</v>
      </c>
      <c r="J68" s="5">
        <v>496</v>
      </c>
      <c r="K68" s="5">
        <f t="shared" si="9"/>
        <v>159260640</v>
      </c>
    </row>
    <row r="69" spans="1:11" ht="12.75">
      <c r="A69" s="14">
        <v>6</v>
      </c>
      <c r="B69" s="14">
        <v>35000</v>
      </c>
      <c r="C69" s="25">
        <f t="shared" si="7"/>
        <v>48650</v>
      </c>
      <c r="D69" s="25">
        <f t="shared" si="8"/>
        <v>340550</v>
      </c>
      <c r="J69" s="5">
        <v>449</v>
      </c>
      <c r="K69" s="5">
        <f t="shared" si="9"/>
        <v>152906950</v>
      </c>
    </row>
    <row r="70" spans="1:11" ht="12.75">
      <c r="A70" s="14">
        <v>7</v>
      </c>
      <c r="B70" s="14">
        <v>45000</v>
      </c>
      <c r="C70" s="25">
        <f t="shared" si="7"/>
        <v>62550</v>
      </c>
      <c r="D70" s="25">
        <f t="shared" si="8"/>
        <v>437850</v>
      </c>
      <c r="J70" s="5">
        <v>193</v>
      </c>
      <c r="K70" s="5">
        <f t="shared" si="9"/>
        <v>84505050</v>
      </c>
    </row>
    <row r="71" spans="1:11" ht="12.75">
      <c r="A71" s="14">
        <v>8</v>
      </c>
      <c r="B71" s="14">
        <v>45000</v>
      </c>
      <c r="C71" s="25">
        <f t="shared" si="7"/>
        <v>62550</v>
      </c>
      <c r="D71" s="25">
        <f t="shared" si="8"/>
        <v>437850</v>
      </c>
      <c r="J71" s="5">
        <v>42</v>
      </c>
      <c r="K71" s="5">
        <f t="shared" si="9"/>
        <v>18389700</v>
      </c>
    </row>
    <row r="72" spans="1:11" ht="12.75">
      <c r="A72" s="13"/>
      <c r="B72" s="13"/>
      <c r="C72" s="13"/>
      <c r="D72" s="13"/>
      <c r="J72" s="5" t="s">
        <v>153</v>
      </c>
      <c r="K72" s="5">
        <f>SUM(K64:K71)</f>
        <v>719864320</v>
      </c>
    </row>
    <row r="74" spans="1:11" ht="13.5" thickBot="1">
      <c r="A74" s="180" t="s">
        <v>207</v>
      </c>
      <c r="B74" s="180"/>
      <c r="C74" s="180"/>
      <c r="D74" s="180"/>
      <c r="E74" s="180"/>
      <c r="F74" s="180"/>
      <c r="G74" s="180"/>
      <c r="H74" s="180"/>
      <c r="I74" s="180"/>
      <c r="J74" s="180"/>
      <c r="K74" s="180"/>
    </row>
    <row r="75" spans="1:11" ht="77.25" thickBot="1">
      <c r="A75" s="29" t="s">
        <v>21</v>
      </c>
      <c r="B75" s="28" t="s">
        <v>33</v>
      </c>
      <c r="C75" s="30" t="s">
        <v>276</v>
      </c>
      <c r="D75" s="30" t="s">
        <v>279</v>
      </c>
      <c r="E75" s="130"/>
      <c r="F75" s="156"/>
      <c r="G75" s="156"/>
      <c r="H75" s="156"/>
      <c r="I75" s="156"/>
      <c r="J75" s="30" t="s">
        <v>14</v>
      </c>
      <c r="K75" s="30" t="s">
        <v>64</v>
      </c>
    </row>
    <row r="76" spans="1:11" ht="12.75">
      <c r="A76" s="14">
        <v>4</v>
      </c>
      <c r="B76" s="14">
        <v>33000</v>
      </c>
      <c r="C76" s="25">
        <f>B76+(B76*$C$21)</f>
        <v>45210</v>
      </c>
      <c r="D76" s="25">
        <f>C76*7</f>
        <v>316470</v>
      </c>
      <c r="J76" s="5">
        <v>180</v>
      </c>
      <c r="K76" s="5">
        <f>D76*J76</f>
        <v>56964600</v>
      </c>
    </row>
    <row r="77" spans="1:11" ht="12.75">
      <c r="A77" s="13"/>
      <c r="B77" s="13"/>
      <c r="C77" s="13"/>
      <c r="D77" s="13"/>
      <c r="J77" s="5" t="s">
        <v>153</v>
      </c>
      <c r="K77" s="5">
        <f>K76</f>
        <v>56964600</v>
      </c>
    </row>
    <row r="78" spans="1:11" ht="13.5" thickBot="1">
      <c r="A78" s="13"/>
      <c r="B78" s="13"/>
      <c r="C78" s="13"/>
      <c r="D78" s="13"/>
      <c r="J78" s="8"/>
      <c r="K78" s="8"/>
    </row>
    <row r="79" spans="10:11" ht="13.5" thickBot="1">
      <c r="J79" s="117" t="s">
        <v>153</v>
      </c>
      <c r="K79" s="118">
        <f>K72+K77</f>
        <v>776828920</v>
      </c>
    </row>
    <row r="81" ht="12.75">
      <c r="A81" s="41" t="s">
        <v>50</v>
      </c>
    </row>
    <row r="82" spans="1:11" ht="20.25">
      <c r="A82" s="177" t="s">
        <v>22</v>
      </c>
      <c r="B82" s="177"/>
      <c r="C82" s="177"/>
      <c r="D82" s="177"/>
      <c r="E82" s="177"/>
      <c r="F82" s="177"/>
      <c r="G82" s="177"/>
      <c r="H82" s="177"/>
      <c r="I82" s="177"/>
      <c r="J82" s="177"/>
      <c r="K82" s="177"/>
    </row>
    <row r="84" spans="1:11" ht="15">
      <c r="A84" s="175" t="s">
        <v>36</v>
      </c>
      <c r="B84" s="175"/>
      <c r="C84" s="175"/>
      <c r="D84" s="175"/>
      <c r="E84" s="175"/>
      <c r="F84" s="175"/>
      <c r="G84" s="175"/>
      <c r="H84" s="175"/>
      <c r="I84" s="175"/>
      <c r="J84" s="175"/>
      <c r="K84" s="175"/>
    </row>
    <row r="85" spans="1:11" ht="15">
      <c r="A85" s="176" t="s">
        <v>61</v>
      </c>
      <c r="B85" s="176"/>
      <c r="C85" s="176"/>
      <c r="D85" s="176"/>
      <c r="E85" s="176"/>
      <c r="F85" s="176"/>
      <c r="G85" s="176"/>
      <c r="H85" s="176"/>
      <c r="I85" s="176"/>
      <c r="J85" s="176"/>
      <c r="K85" s="176"/>
    </row>
    <row r="86" spans="1:11" ht="15">
      <c r="A86" s="175" t="s">
        <v>62</v>
      </c>
      <c r="B86" s="175"/>
      <c r="C86" s="175"/>
      <c r="D86" s="175"/>
      <c r="E86" s="175"/>
      <c r="F86" s="175"/>
      <c r="G86" s="175"/>
      <c r="H86" s="175"/>
      <c r="I86" s="175"/>
      <c r="J86" s="175"/>
      <c r="K86" s="175"/>
    </row>
    <row r="87" spans="1:11" ht="15.75" thickBot="1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</row>
    <row r="88" spans="1:11" ht="77.25" thickBot="1">
      <c r="A88" s="29" t="s">
        <v>21</v>
      </c>
      <c r="B88" s="28" t="s">
        <v>63</v>
      </c>
      <c r="C88" s="30" t="s">
        <v>223</v>
      </c>
      <c r="D88" s="30" t="s">
        <v>221</v>
      </c>
      <c r="J88" s="30" t="s">
        <v>14</v>
      </c>
      <c r="K88" s="30" t="s">
        <v>64</v>
      </c>
    </row>
    <row r="89" spans="1:11" ht="12.75">
      <c r="A89" s="25">
        <v>1</v>
      </c>
      <c r="B89" s="25">
        <v>45000</v>
      </c>
      <c r="C89" s="25">
        <f aca="true" t="shared" si="10" ref="C89:C95">B89+(B89*$C$9)</f>
        <v>62550</v>
      </c>
      <c r="D89" s="25">
        <f>C89*13</f>
        <v>813150</v>
      </c>
      <c r="J89" s="47">
        <v>7</v>
      </c>
      <c r="K89" s="47">
        <f aca="true" t="shared" si="11" ref="K89:K95">D89*J89</f>
        <v>5692050</v>
      </c>
    </row>
    <row r="90" spans="1:11" ht="12.75">
      <c r="A90" s="14">
        <v>2</v>
      </c>
      <c r="B90" s="25">
        <v>45000</v>
      </c>
      <c r="C90" s="25">
        <f t="shared" si="10"/>
        <v>62550</v>
      </c>
      <c r="D90" s="25">
        <f aca="true" t="shared" si="12" ref="D90:D95">C90*13</f>
        <v>813150</v>
      </c>
      <c r="J90" s="5">
        <v>9</v>
      </c>
      <c r="K90" s="5">
        <f t="shared" si="11"/>
        <v>7318350</v>
      </c>
    </row>
    <row r="91" spans="1:11" ht="12.75">
      <c r="A91" s="14">
        <v>3</v>
      </c>
      <c r="B91" s="25">
        <v>45000</v>
      </c>
      <c r="C91" s="25">
        <f t="shared" si="10"/>
        <v>62550</v>
      </c>
      <c r="D91" s="25">
        <f t="shared" si="12"/>
        <v>813150</v>
      </c>
      <c r="J91" s="5">
        <v>201</v>
      </c>
      <c r="K91" s="5">
        <f t="shared" si="11"/>
        <v>163443150</v>
      </c>
    </row>
    <row r="92" spans="1:11" ht="12.75">
      <c r="A92" s="14">
        <v>4</v>
      </c>
      <c r="B92" s="25">
        <v>45000</v>
      </c>
      <c r="C92" s="25">
        <f t="shared" si="10"/>
        <v>62550</v>
      </c>
      <c r="D92" s="25">
        <f t="shared" si="12"/>
        <v>813150</v>
      </c>
      <c r="J92" s="5">
        <v>752</v>
      </c>
      <c r="K92" s="5">
        <f t="shared" si="11"/>
        <v>611488800</v>
      </c>
    </row>
    <row r="93" spans="1:11" ht="12.75">
      <c r="A93" s="14">
        <v>5</v>
      </c>
      <c r="B93" s="25">
        <v>45000</v>
      </c>
      <c r="C93" s="25">
        <f t="shared" si="10"/>
        <v>62550</v>
      </c>
      <c r="D93" s="25">
        <f t="shared" si="12"/>
        <v>813150</v>
      </c>
      <c r="J93" s="5">
        <v>496</v>
      </c>
      <c r="K93" s="5">
        <f t="shared" si="11"/>
        <v>403322400</v>
      </c>
    </row>
    <row r="94" spans="1:11" ht="12.75">
      <c r="A94" s="14">
        <v>6</v>
      </c>
      <c r="B94" s="14">
        <v>65000</v>
      </c>
      <c r="C94" s="25">
        <f t="shared" si="10"/>
        <v>90350</v>
      </c>
      <c r="D94" s="25">
        <f t="shared" si="12"/>
        <v>1174550</v>
      </c>
      <c r="J94" s="5">
        <v>449</v>
      </c>
      <c r="K94" s="5">
        <f t="shared" si="11"/>
        <v>527372950</v>
      </c>
    </row>
    <row r="95" spans="1:11" ht="12.75">
      <c r="A95" s="14">
        <v>7</v>
      </c>
      <c r="B95" s="14">
        <v>65000</v>
      </c>
      <c r="C95" s="25">
        <f t="shared" si="10"/>
        <v>90350</v>
      </c>
      <c r="D95" s="25">
        <f t="shared" si="12"/>
        <v>1174550</v>
      </c>
      <c r="J95" s="5">
        <v>193</v>
      </c>
      <c r="K95" s="5">
        <f t="shared" si="11"/>
        <v>226688150</v>
      </c>
    </row>
    <row r="96" spans="1:11" ht="12.75">
      <c r="A96" s="13"/>
      <c r="B96" s="13"/>
      <c r="C96" s="13"/>
      <c r="D96" s="13"/>
      <c r="J96" s="5" t="s">
        <v>153</v>
      </c>
      <c r="K96" s="5">
        <f>SUM(K89:K95)</f>
        <v>1945325850</v>
      </c>
    </row>
    <row r="98" spans="1:11" ht="12.75">
      <c r="A98" s="131"/>
      <c r="B98" s="27"/>
      <c r="C98" s="27"/>
      <c r="D98" s="27"/>
      <c r="J98" s="27"/>
      <c r="K98" s="27"/>
    </row>
    <row r="100" ht="12.75">
      <c r="A100" s="41" t="s">
        <v>55</v>
      </c>
    </row>
    <row r="101" spans="1:11" ht="20.25">
      <c r="A101" s="177" t="s">
        <v>22</v>
      </c>
      <c r="B101" s="177"/>
      <c r="C101" s="177"/>
      <c r="D101" s="177"/>
      <c r="E101" s="177"/>
      <c r="F101" s="177"/>
      <c r="G101" s="177"/>
      <c r="H101" s="177"/>
      <c r="I101" s="177"/>
      <c r="J101" s="177"/>
      <c r="K101" s="177"/>
    </row>
    <row r="102" spans="1:11" ht="18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</row>
    <row r="103" spans="1:11" ht="15">
      <c r="A103" s="175" t="s">
        <v>16</v>
      </c>
      <c r="B103" s="175"/>
      <c r="C103" s="175"/>
      <c r="D103" s="175"/>
      <c r="E103" s="175"/>
      <c r="F103" s="175"/>
      <c r="G103" s="175"/>
      <c r="H103" s="175"/>
      <c r="I103" s="175"/>
      <c r="J103" s="175"/>
      <c r="K103" s="175"/>
    </row>
    <row r="104" spans="1:11" ht="15">
      <c r="A104" s="176" t="s">
        <v>35</v>
      </c>
      <c r="B104" s="176"/>
      <c r="C104" s="176"/>
      <c r="D104" s="176"/>
      <c r="E104" s="176"/>
      <c r="F104" s="176"/>
      <c r="G104" s="176"/>
      <c r="H104" s="176"/>
      <c r="I104" s="176"/>
      <c r="J104" s="176"/>
      <c r="K104" s="176"/>
    </row>
    <row r="105" spans="1:11" ht="15">
      <c r="A105" s="175" t="s">
        <v>32</v>
      </c>
      <c r="B105" s="175"/>
      <c r="C105" s="175"/>
      <c r="D105" s="175"/>
      <c r="E105" s="175"/>
      <c r="F105" s="175"/>
      <c r="G105" s="175"/>
      <c r="H105" s="175"/>
      <c r="I105" s="175"/>
      <c r="J105" s="175"/>
      <c r="K105" s="175"/>
    </row>
    <row r="106" spans="1:11" ht="15">
      <c r="A106" s="175" t="s">
        <v>58</v>
      </c>
      <c r="B106" s="175"/>
      <c r="C106" s="175"/>
      <c r="D106" s="175"/>
      <c r="E106" s="175"/>
      <c r="F106" s="175"/>
      <c r="G106" s="175"/>
      <c r="H106" s="175"/>
      <c r="I106" s="175"/>
      <c r="J106" s="175"/>
      <c r="K106" s="175"/>
    </row>
    <row r="107" spans="1:11" ht="15">
      <c r="A107" s="175" t="s">
        <v>86</v>
      </c>
      <c r="B107" s="175"/>
      <c r="C107" s="175"/>
      <c r="D107" s="175"/>
      <c r="E107" s="175"/>
      <c r="F107" s="175"/>
      <c r="G107" s="175"/>
      <c r="H107" s="175"/>
      <c r="I107" s="175"/>
      <c r="J107" s="175"/>
      <c r="K107" s="175"/>
    </row>
    <row r="108" spans="1:11" ht="15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</row>
    <row r="109" spans="1:11" ht="15.75" customHeight="1">
      <c r="A109" s="190" t="s">
        <v>206</v>
      </c>
      <c r="B109" s="190"/>
      <c r="C109" s="190"/>
      <c r="D109" s="190"/>
      <c r="E109" s="190"/>
      <c r="F109" s="190"/>
      <c r="G109" s="190"/>
      <c r="H109" s="190"/>
      <c r="I109" s="190"/>
      <c r="J109" s="190"/>
      <c r="K109" s="190"/>
    </row>
    <row r="110" ht="13.5" thickBot="1">
      <c r="C110" s="90">
        <v>0.4</v>
      </c>
    </row>
    <row r="111" spans="1:11" ht="77.25" thickBot="1">
      <c r="A111" s="29" t="s">
        <v>21</v>
      </c>
      <c r="B111" s="28" t="s">
        <v>34</v>
      </c>
      <c r="C111" s="30" t="s">
        <v>185</v>
      </c>
      <c r="D111" s="30" t="s">
        <v>190</v>
      </c>
      <c r="J111" s="26" t="s">
        <v>14</v>
      </c>
      <c r="K111" s="26" t="s">
        <v>78</v>
      </c>
    </row>
    <row r="112" spans="1:11" ht="12.75">
      <c r="A112" s="25">
        <v>1</v>
      </c>
      <c r="B112" s="25">
        <f aca="true" t="shared" si="13" ref="B112:B119">B11+B64</f>
        <v>66000</v>
      </c>
      <c r="C112" s="25">
        <f>B112+(B112*$C$110)</f>
        <v>92400</v>
      </c>
      <c r="D112" s="25">
        <f aca="true" t="shared" si="14" ref="D112:D119">C112*13</f>
        <v>1201200</v>
      </c>
      <c r="J112" s="5">
        <v>7</v>
      </c>
      <c r="K112" s="5">
        <f aca="true" t="shared" si="15" ref="K112:K119">D112*J112</f>
        <v>8408400</v>
      </c>
    </row>
    <row r="113" spans="1:11" ht="12.75">
      <c r="A113" s="14">
        <v>2</v>
      </c>
      <c r="B113" s="25">
        <f t="shared" si="13"/>
        <v>66000</v>
      </c>
      <c r="C113" s="25">
        <f aca="true" t="shared" si="16" ref="C113:C119">B113+(B113*$C$110)</f>
        <v>92400</v>
      </c>
      <c r="D113" s="25">
        <f t="shared" si="14"/>
        <v>1201200</v>
      </c>
      <c r="J113" s="5">
        <v>9</v>
      </c>
      <c r="K113" s="5">
        <f t="shared" si="15"/>
        <v>10810800</v>
      </c>
    </row>
    <row r="114" spans="1:11" ht="12.75">
      <c r="A114" s="14">
        <v>3</v>
      </c>
      <c r="B114" s="25">
        <f t="shared" si="13"/>
        <v>66000</v>
      </c>
      <c r="C114" s="25">
        <f t="shared" si="16"/>
        <v>92400</v>
      </c>
      <c r="D114" s="25">
        <f t="shared" si="14"/>
        <v>1201200</v>
      </c>
      <c r="J114" s="5">
        <v>201</v>
      </c>
      <c r="K114" s="5">
        <f t="shared" si="15"/>
        <v>241441200</v>
      </c>
    </row>
    <row r="115" spans="1:11" ht="12.75">
      <c r="A115" s="14">
        <v>4</v>
      </c>
      <c r="B115" s="25">
        <f t="shared" si="13"/>
        <v>73000</v>
      </c>
      <c r="C115" s="25">
        <f t="shared" si="16"/>
        <v>102200</v>
      </c>
      <c r="D115" s="25">
        <f t="shared" si="14"/>
        <v>1328600</v>
      </c>
      <c r="J115" s="5">
        <v>752</v>
      </c>
      <c r="K115" s="5">
        <f t="shared" si="15"/>
        <v>999107200</v>
      </c>
    </row>
    <row r="116" spans="1:11" ht="12.75">
      <c r="A116" s="14">
        <v>5</v>
      </c>
      <c r="B116" s="25">
        <f t="shared" si="13"/>
        <v>73000</v>
      </c>
      <c r="C116" s="25">
        <f t="shared" si="16"/>
        <v>102200</v>
      </c>
      <c r="D116" s="25">
        <f t="shared" si="14"/>
        <v>1328600</v>
      </c>
      <c r="J116" s="5">
        <v>496</v>
      </c>
      <c r="K116" s="5">
        <f t="shared" si="15"/>
        <v>658985600</v>
      </c>
    </row>
    <row r="117" spans="1:11" ht="12.75">
      <c r="A117" s="14">
        <v>6</v>
      </c>
      <c r="B117" s="25">
        <f t="shared" si="13"/>
        <v>77000</v>
      </c>
      <c r="C117" s="25">
        <f t="shared" si="16"/>
        <v>107800</v>
      </c>
      <c r="D117" s="25">
        <f t="shared" si="14"/>
        <v>1401400</v>
      </c>
      <c r="J117" s="5">
        <v>449</v>
      </c>
      <c r="K117" s="5">
        <f t="shared" si="15"/>
        <v>629228600</v>
      </c>
    </row>
    <row r="118" spans="1:11" ht="12.75">
      <c r="A118" s="14">
        <v>7</v>
      </c>
      <c r="B118" s="25">
        <f t="shared" si="13"/>
        <v>99000</v>
      </c>
      <c r="C118" s="25">
        <f t="shared" si="16"/>
        <v>138600</v>
      </c>
      <c r="D118" s="25">
        <f t="shared" si="14"/>
        <v>1801800</v>
      </c>
      <c r="J118" s="5">
        <v>193</v>
      </c>
      <c r="K118" s="5">
        <f t="shared" si="15"/>
        <v>347747400</v>
      </c>
    </row>
    <row r="119" spans="1:11" ht="12.75">
      <c r="A119" s="14">
        <v>8</v>
      </c>
      <c r="B119" s="25">
        <f t="shared" si="13"/>
        <v>99000</v>
      </c>
      <c r="C119" s="25">
        <f t="shared" si="16"/>
        <v>138600</v>
      </c>
      <c r="D119" s="25">
        <f t="shared" si="14"/>
        <v>1801800</v>
      </c>
      <c r="J119" s="5">
        <v>42</v>
      </c>
      <c r="K119" s="5">
        <f t="shared" si="15"/>
        <v>75675600</v>
      </c>
    </row>
    <row r="120" spans="1:11" ht="12.75">
      <c r="A120" s="13"/>
      <c r="B120" s="13"/>
      <c r="C120" s="13"/>
      <c r="D120" s="13"/>
      <c r="J120" s="5" t="s">
        <v>153</v>
      </c>
      <c r="K120" s="5">
        <f>SUM(K112:K119)</f>
        <v>2971404800</v>
      </c>
    </row>
    <row r="121" spans="1:11" ht="12.75">
      <c r="A121" s="13"/>
      <c r="B121" s="13"/>
      <c r="C121" s="13"/>
      <c r="D121" s="13"/>
      <c r="J121" s="8"/>
      <c r="K121" s="8"/>
    </row>
    <row r="122" ht="12.75">
      <c r="C122" s="90">
        <v>0.38</v>
      </c>
    </row>
    <row r="123" spans="1:11" ht="13.5" thickBot="1">
      <c r="A123" s="180" t="s">
        <v>207</v>
      </c>
      <c r="B123" s="180"/>
      <c r="C123" s="180"/>
      <c r="D123" s="180"/>
      <c r="E123" s="180"/>
      <c r="F123" s="180"/>
      <c r="G123" s="180"/>
      <c r="H123" s="180"/>
      <c r="I123" s="180"/>
      <c r="J123" s="180"/>
      <c r="K123" s="180"/>
    </row>
    <row r="124" spans="1:11" ht="77.25" thickBot="1">
      <c r="A124" s="29" t="s">
        <v>21</v>
      </c>
      <c r="B124" s="28" t="s">
        <v>34</v>
      </c>
      <c r="C124" s="30" t="s">
        <v>208</v>
      </c>
      <c r="D124" s="30" t="s">
        <v>280</v>
      </c>
      <c r="E124" s="130"/>
      <c r="F124" s="156"/>
      <c r="G124" s="156"/>
      <c r="H124" s="156"/>
      <c r="I124" s="156"/>
      <c r="J124" s="30" t="s">
        <v>14</v>
      </c>
      <c r="K124" s="30" t="s">
        <v>78</v>
      </c>
    </row>
    <row r="125" spans="1:11" ht="12.75">
      <c r="A125" s="14">
        <v>4</v>
      </c>
      <c r="B125" s="25">
        <f>B24+B76</f>
        <v>73000</v>
      </c>
      <c r="C125" s="25">
        <f>B125+(B125*$C$122)</f>
        <v>100740</v>
      </c>
      <c r="D125" s="25">
        <f>C125*13</f>
        <v>1309620</v>
      </c>
      <c r="J125" s="5">
        <v>180</v>
      </c>
      <c r="K125" s="5">
        <f>D125*J125</f>
        <v>235731600</v>
      </c>
    </row>
    <row r="126" spans="1:11" ht="12.75">
      <c r="A126" s="131"/>
      <c r="B126" s="27"/>
      <c r="C126" s="27"/>
      <c r="D126" s="27"/>
      <c r="J126" s="157" t="s">
        <v>153</v>
      </c>
      <c r="K126" s="157">
        <f>K125</f>
        <v>235731600</v>
      </c>
    </row>
    <row r="127" spans="1:11" ht="13.5" thickBot="1">
      <c r="A127" s="131"/>
      <c r="B127" s="27"/>
      <c r="C127" s="27"/>
      <c r="D127" s="27"/>
      <c r="J127" s="27"/>
      <c r="K127" s="27"/>
    </row>
    <row r="128" spans="1:11" ht="13.5" thickBot="1">
      <c r="A128" s="131"/>
      <c r="B128" s="27"/>
      <c r="C128" s="27"/>
      <c r="D128" s="27"/>
      <c r="J128" s="32" t="s">
        <v>153</v>
      </c>
      <c r="K128" s="160">
        <f>K120+K126</f>
        <v>3207136400</v>
      </c>
    </row>
    <row r="129" spans="1:11" ht="12.75">
      <c r="A129" s="131"/>
      <c r="B129" s="27"/>
      <c r="C129" s="27"/>
      <c r="D129" s="27"/>
      <c r="J129" s="27"/>
      <c r="K129" s="27"/>
    </row>
    <row r="130" ht="12.75">
      <c r="A130" s="41" t="s">
        <v>57</v>
      </c>
    </row>
    <row r="131" spans="1:11" ht="20.25">
      <c r="A131" s="177" t="s">
        <v>22</v>
      </c>
      <c r="B131" s="177"/>
      <c r="C131" s="177"/>
      <c r="D131" s="177"/>
      <c r="E131" s="177"/>
      <c r="F131" s="177"/>
      <c r="G131" s="177"/>
      <c r="H131" s="177"/>
      <c r="I131" s="177"/>
      <c r="J131" s="177"/>
      <c r="K131" s="177"/>
    </row>
    <row r="132" ht="12.75">
      <c r="A132" s="41"/>
    </row>
    <row r="133" spans="1:11" ht="15">
      <c r="A133" s="175" t="s">
        <v>36</v>
      </c>
      <c r="B133" s="175"/>
      <c r="C133" s="175"/>
      <c r="D133" s="175"/>
      <c r="E133" s="175"/>
      <c r="F133" s="175"/>
      <c r="G133" s="175"/>
      <c r="H133" s="175"/>
      <c r="I133" s="175"/>
      <c r="J133" s="175"/>
      <c r="K133" s="175"/>
    </row>
    <row r="134" spans="1:11" ht="15">
      <c r="A134" s="176" t="s">
        <v>61</v>
      </c>
      <c r="B134" s="176"/>
      <c r="C134" s="176"/>
      <c r="D134" s="176"/>
      <c r="E134" s="176"/>
      <c r="F134" s="176"/>
      <c r="G134" s="176"/>
      <c r="H134" s="176"/>
      <c r="I134" s="176"/>
      <c r="J134" s="176"/>
      <c r="K134" s="176"/>
    </row>
    <row r="135" spans="1:11" ht="15">
      <c r="A135" s="175" t="s">
        <v>97</v>
      </c>
      <c r="B135" s="175"/>
      <c r="C135" s="175"/>
      <c r="D135" s="175"/>
      <c r="E135" s="175"/>
      <c r="F135" s="175"/>
      <c r="G135" s="175"/>
      <c r="H135" s="175"/>
      <c r="I135" s="175"/>
      <c r="J135" s="175"/>
      <c r="K135" s="175"/>
    </row>
    <row r="136" ht="13.5" thickBot="1"/>
    <row r="137" spans="1:11" ht="77.25" thickBot="1">
      <c r="A137" s="29" t="s">
        <v>21</v>
      </c>
      <c r="B137" s="28" t="s">
        <v>79</v>
      </c>
      <c r="C137" s="30" t="s">
        <v>224</v>
      </c>
      <c r="D137" s="30" t="s">
        <v>225</v>
      </c>
      <c r="J137" s="26" t="s">
        <v>14</v>
      </c>
      <c r="K137" s="26" t="s">
        <v>78</v>
      </c>
    </row>
    <row r="138" spans="1:11" ht="12.75">
      <c r="A138" s="25">
        <v>1</v>
      </c>
      <c r="B138" s="25">
        <v>45000</v>
      </c>
      <c r="C138" s="25">
        <f>B138+(B138*$C$110)</f>
        <v>63000</v>
      </c>
      <c r="D138" s="25">
        <f>C138*11</f>
        <v>693000</v>
      </c>
      <c r="J138" s="5">
        <v>7</v>
      </c>
      <c r="K138" s="5">
        <f aca="true" t="shared" si="17" ref="K138:K144">D138*J138</f>
        <v>4851000</v>
      </c>
    </row>
    <row r="139" spans="1:11" ht="12.75">
      <c r="A139" s="14">
        <v>2</v>
      </c>
      <c r="B139" s="25">
        <v>45000</v>
      </c>
      <c r="C139" s="25">
        <f aca="true" t="shared" si="18" ref="C139:C144">B139+(B139*$C$110)</f>
        <v>63000</v>
      </c>
      <c r="D139" s="25">
        <f aca="true" t="shared" si="19" ref="D139:D144">C139*11</f>
        <v>693000</v>
      </c>
      <c r="J139" s="5">
        <v>9</v>
      </c>
      <c r="K139" s="5">
        <f t="shared" si="17"/>
        <v>6237000</v>
      </c>
    </row>
    <row r="140" spans="1:11" ht="12.75">
      <c r="A140" s="14">
        <v>3</v>
      </c>
      <c r="B140" s="25">
        <v>45000</v>
      </c>
      <c r="C140" s="25">
        <f t="shared" si="18"/>
        <v>63000</v>
      </c>
      <c r="D140" s="25">
        <f t="shared" si="19"/>
        <v>693000</v>
      </c>
      <c r="J140" s="5">
        <v>201</v>
      </c>
      <c r="K140" s="5">
        <f t="shared" si="17"/>
        <v>139293000</v>
      </c>
    </row>
    <row r="141" spans="1:11" ht="12.75">
      <c r="A141" s="14">
        <v>4</v>
      </c>
      <c r="B141" s="25">
        <v>45000</v>
      </c>
      <c r="C141" s="25">
        <f t="shared" si="18"/>
        <v>63000</v>
      </c>
      <c r="D141" s="25">
        <f t="shared" si="19"/>
        <v>693000</v>
      </c>
      <c r="J141" s="5">
        <v>752</v>
      </c>
      <c r="K141" s="5">
        <f t="shared" si="17"/>
        <v>521136000</v>
      </c>
    </row>
    <row r="142" spans="1:11" ht="12.75">
      <c r="A142" s="14">
        <v>5</v>
      </c>
      <c r="B142" s="25">
        <v>45000</v>
      </c>
      <c r="C142" s="25">
        <f t="shared" si="18"/>
        <v>63000</v>
      </c>
      <c r="D142" s="25">
        <f t="shared" si="19"/>
        <v>693000</v>
      </c>
      <c r="J142" s="5">
        <v>496</v>
      </c>
      <c r="K142" s="5">
        <f t="shared" si="17"/>
        <v>343728000</v>
      </c>
    </row>
    <row r="143" spans="1:11" ht="12.75">
      <c r="A143" s="14">
        <v>6</v>
      </c>
      <c r="B143" s="14">
        <v>65000</v>
      </c>
      <c r="C143" s="25">
        <f t="shared" si="18"/>
        <v>91000</v>
      </c>
      <c r="D143" s="25">
        <f t="shared" si="19"/>
        <v>1001000</v>
      </c>
      <c r="J143" s="5">
        <v>449</v>
      </c>
      <c r="K143" s="5">
        <f t="shared" si="17"/>
        <v>449449000</v>
      </c>
    </row>
    <row r="144" spans="1:11" ht="12.75">
      <c r="A144" s="14">
        <v>7</v>
      </c>
      <c r="B144" s="14">
        <v>65000</v>
      </c>
      <c r="C144" s="25">
        <f t="shared" si="18"/>
        <v>91000</v>
      </c>
      <c r="D144" s="25">
        <f t="shared" si="19"/>
        <v>1001000</v>
      </c>
      <c r="J144" s="5">
        <v>193</v>
      </c>
      <c r="K144" s="5">
        <f t="shared" si="17"/>
        <v>193193000</v>
      </c>
    </row>
    <row r="145" spans="1:11" ht="12.75">
      <c r="A145" s="13"/>
      <c r="B145" s="13"/>
      <c r="C145" s="13"/>
      <c r="D145" s="13"/>
      <c r="J145" s="5" t="s">
        <v>153</v>
      </c>
      <c r="K145" s="5">
        <f>SUM(K138:K144)</f>
        <v>1657887000</v>
      </c>
    </row>
    <row r="148" ht="12.75">
      <c r="A148" s="41" t="s">
        <v>59</v>
      </c>
    </row>
    <row r="149" spans="1:11" ht="20.25">
      <c r="A149" s="177" t="s">
        <v>22</v>
      </c>
      <c r="B149" s="177"/>
      <c r="C149" s="177"/>
      <c r="D149" s="177"/>
      <c r="E149" s="177"/>
      <c r="F149" s="177"/>
      <c r="G149" s="177"/>
      <c r="H149" s="177"/>
      <c r="I149" s="177"/>
      <c r="J149" s="177"/>
      <c r="K149" s="177"/>
    </row>
    <row r="150" spans="1:11" ht="18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</row>
    <row r="151" spans="1:11" ht="15">
      <c r="A151" s="175" t="s">
        <v>51</v>
      </c>
      <c r="B151" s="175"/>
      <c r="C151" s="175"/>
      <c r="D151" s="175"/>
      <c r="E151" s="175"/>
      <c r="F151" s="175"/>
      <c r="G151" s="175"/>
      <c r="H151" s="175"/>
      <c r="I151" s="175"/>
      <c r="J151" s="175"/>
      <c r="K151" s="175"/>
    </row>
    <row r="152" spans="1:11" ht="15">
      <c r="A152" s="176" t="s">
        <v>29</v>
      </c>
      <c r="B152" s="176"/>
      <c r="C152" s="176"/>
      <c r="D152" s="176"/>
      <c r="E152" s="176"/>
      <c r="F152" s="176"/>
      <c r="G152" s="176"/>
      <c r="H152" s="176"/>
      <c r="I152" s="176"/>
      <c r="J152" s="176"/>
      <c r="K152" s="176"/>
    </row>
    <row r="153" spans="1:11" ht="15">
      <c r="A153" s="175" t="s">
        <v>32</v>
      </c>
      <c r="B153" s="175"/>
      <c r="C153" s="175"/>
      <c r="D153" s="175"/>
      <c r="E153" s="175"/>
      <c r="F153" s="175"/>
      <c r="G153" s="175"/>
      <c r="H153" s="175"/>
      <c r="I153" s="175"/>
      <c r="J153" s="175"/>
      <c r="K153" s="175"/>
    </row>
    <row r="154" spans="1:11" ht="15">
      <c r="A154" s="175" t="s">
        <v>58</v>
      </c>
      <c r="B154" s="175"/>
      <c r="C154" s="175"/>
      <c r="D154" s="175"/>
      <c r="E154" s="175"/>
      <c r="F154" s="175"/>
      <c r="G154" s="175"/>
      <c r="H154" s="175"/>
      <c r="I154" s="175"/>
      <c r="J154" s="175"/>
      <c r="K154" s="175"/>
    </row>
    <row r="155" spans="1:11" ht="15">
      <c r="A155" s="175" t="s">
        <v>86</v>
      </c>
      <c r="B155" s="175"/>
      <c r="C155" s="175"/>
      <c r="D155" s="175"/>
      <c r="E155" s="175"/>
      <c r="F155" s="175"/>
      <c r="G155" s="175"/>
      <c r="H155" s="175"/>
      <c r="I155" s="175"/>
      <c r="J155" s="175"/>
      <c r="K155" s="175"/>
    </row>
    <row r="156" spans="1:11" ht="15">
      <c r="A156" s="42"/>
      <c r="B156" s="42"/>
      <c r="C156" s="42"/>
      <c r="D156" s="42"/>
      <c r="E156" s="42"/>
      <c r="F156" s="42"/>
      <c r="G156" s="42"/>
      <c r="H156" s="42"/>
      <c r="I156" s="42"/>
      <c r="J156" s="42"/>
      <c r="K156" s="42"/>
    </row>
    <row r="157" spans="2:10" ht="13.5" thickBot="1">
      <c r="B157" s="179" t="s">
        <v>206</v>
      </c>
      <c r="C157" s="179"/>
      <c r="D157" s="179"/>
      <c r="E157" s="179"/>
      <c r="F157" s="179"/>
      <c r="G157" s="179"/>
      <c r="H157" s="179"/>
      <c r="I157" s="179"/>
      <c r="J157" s="179"/>
    </row>
    <row r="158" spans="2:11" ht="51.75" thickBot="1">
      <c r="B158" s="36" t="s">
        <v>52</v>
      </c>
      <c r="C158" s="26" t="s">
        <v>54</v>
      </c>
      <c r="D158" s="29" t="s">
        <v>53</v>
      </c>
      <c r="E158" s="37"/>
      <c r="F158" s="37"/>
      <c r="G158" s="37"/>
      <c r="H158" s="37"/>
      <c r="I158" s="37"/>
      <c r="J158" s="26" t="s">
        <v>191</v>
      </c>
      <c r="K158" s="27"/>
    </row>
    <row r="159" spans="2:10" ht="39" customHeight="1">
      <c r="B159" s="2">
        <v>916000</v>
      </c>
      <c r="C159" s="2">
        <f>SUM(J112:J119)</f>
        <v>2149</v>
      </c>
      <c r="D159" s="38">
        <f>B159*C159</f>
        <v>1968484000</v>
      </c>
      <c r="E159" s="2"/>
      <c r="F159" s="2"/>
      <c r="G159" s="2"/>
      <c r="H159" s="2"/>
      <c r="I159" s="2"/>
      <c r="J159" s="2">
        <f>D159+(D159*$C$110)</f>
        <v>2755877600</v>
      </c>
    </row>
    <row r="162" spans="2:10" ht="13.5" thickBot="1">
      <c r="B162" s="179" t="s">
        <v>207</v>
      </c>
      <c r="C162" s="179"/>
      <c r="D162" s="179"/>
      <c r="E162" s="179"/>
      <c r="F162" s="179"/>
      <c r="G162" s="179"/>
      <c r="H162" s="179"/>
      <c r="I162" s="179"/>
      <c r="J162" s="179"/>
    </row>
    <row r="163" spans="2:10" ht="51.75" thickBot="1">
      <c r="B163" s="36" t="s">
        <v>52</v>
      </c>
      <c r="C163" s="26" t="s">
        <v>54</v>
      </c>
      <c r="D163" s="29" t="s">
        <v>53</v>
      </c>
      <c r="E163" s="37"/>
      <c r="F163" s="37"/>
      <c r="G163" s="37"/>
      <c r="H163" s="37"/>
      <c r="I163" s="37"/>
      <c r="J163" s="26" t="s">
        <v>275</v>
      </c>
    </row>
    <row r="164" spans="2:10" ht="12.75">
      <c r="B164" s="2">
        <v>916000</v>
      </c>
      <c r="C164" s="2">
        <v>180</v>
      </c>
      <c r="D164" s="38">
        <f>B164*C164</f>
        <v>164880000</v>
      </c>
      <c r="E164" s="2"/>
      <c r="F164" s="2"/>
      <c r="G164" s="2"/>
      <c r="H164" s="2"/>
      <c r="I164" s="2"/>
      <c r="J164" s="2">
        <f>D164+(D164*$C$122)</f>
        <v>227534400</v>
      </c>
    </row>
    <row r="165" ht="13.5" thickBot="1"/>
    <row r="166" spans="4:10" ht="13.5" thickBot="1">
      <c r="D166" s="117" t="s">
        <v>153</v>
      </c>
      <c r="E166" s="123"/>
      <c r="F166" s="124"/>
      <c r="G166" s="124"/>
      <c r="H166" s="124"/>
      <c r="I166" s="124"/>
      <c r="J166" s="118">
        <f>J159+J164</f>
        <v>2983412000</v>
      </c>
    </row>
    <row r="168" ht="12.75">
      <c r="A168" s="41" t="s">
        <v>68</v>
      </c>
    </row>
    <row r="169" spans="1:11" ht="20.25">
      <c r="A169" s="177" t="s">
        <v>22</v>
      </c>
      <c r="B169" s="177"/>
      <c r="C169" s="177"/>
      <c r="D169" s="177"/>
      <c r="E169" s="177"/>
      <c r="F169" s="177"/>
      <c r="G169" s="177"/>
      <c r="H169" s="177"/>
      <c r="I169" s="177"/>
      <c r="J169" s="177"/>
      <c r="K169" s="177"/>
    </row>
    <row r="170" ht="12.75">
      <c r="A170" s="41"/>
    </row>
    <row r="171" spans="1:11" ht="15">
      <c r="A171" s="175" t="s">
        <v>69</v>
      </c>
      <c r="B171" s="175"/>
      <c r="C171" s="175"/>
      <c r="D171" s="175"/>
      <c r="E171" s="175"/>
      <c r="F171" s="175"/>
      <c r="G171" s="175"/>
      <c r="H171" s="175"/>
      <c r="I171" s="175"/>
      <c r="J171" s="175"/>
      <c r="K171" s="175"/>
    </row>
    <row r="172" spans="1:11" ht="15">
      <c r="A172" s="176" t="s">
        <v>29</v>
      </c>
      <c r="B172" s="176"/>
      <c r="C172" s="176"/>
      <c r="D172" s="176"/>
      <c r="E172" s="176"/>
      <c r="F172" s="176"/>
      <c r="G172" s="176"/>
      <c r="H172" s="176"/>
      <c r="I172" s="176"/>
      <c r="J172" s="176"/>
      <c r="K172" s="176"/>
    </row>
    <row r="173" spans="1:11" ht="15">
      <c r="A173" s="175" t="s">
        <v>32</v>
      </c>
      <c r="B173" s="175"/>
      <c r="C173" s="175"/>
      <c r="D173" s="175"/>
      <c r="E173" s="175"/>
      <c r="F173" s="175"/>
      <c r="G173" s="175"/>
      <c r="H173" s="175"/>
      <c r="I173" s="175"/>
      <c r="J173" s="175"/>
      <c r="K173" s="175"/>
    </row>
    <row r="174" spans="1:11" ht="15">
      <c r="A174" s="175" t="s">
        <v>58</v>
      </c>
      <c r="B174" s="175"/>
      <c r="C174" s="175"/>
      <c r="D174" s="175"/>
      <c r="E174" s="175"/>
      <c r="F174" s="175"/>
      <c r="G174" s="175"/>
      <c r="H174" s="175"/>
      <c r="I174" s="175"/>
      <c r="J174" s="175"/>
      <c r="K174" s="175"/>
    </row>
    <row r="175" spans="1:11" ht="15">
      <c r="A175" s="175" t="s">
        <v>86</v>
      </c>
      <c r="B175" s="175"/>
      <c r="C175" s="175"/>
      <c r="D175" s="175"/>
      <c r="E175" s="175"/>
      <c r="F175" s="175"/>
      <c r="G175" s="175"/>
      <c r="H175" s="175"/>
      <c r="I175" s="175"/>
      <c r="J175" s="175"/>
      <c r="K175" s="175"/>
    </row>
    <row r="176" spans="1:11" ht="15">
      <c r="A176" s="42"/>
      <c r="B176" s="42"/>
      <c r="C176" s="42"/>
      <c r="D176" s="42"/>
      <c r="E176" s="42"/>
      <c r="F176" s="42"/>
      <c r="G176" s="42"/>
      <c r="H176" s="42"/>
      <c r="I176" s="42"/>
      <c r="J176" s="42"/>
      <c r="K176" s="42"/>
    </row>
    <row r="177" spans="2:10" ht="13.5" thickBot="1">
      <c r="B177" s="179" t="s">
        <v>206</v>
      </c>
      <c r="C177" s="179"/>
      <c r="D177" s="179"/>
      <c r="E177" s="179"/>
      <c r="F177" s="179"/>
      <c r="G177" s="179"/>
      <c r="H177" s="179"/>
      <c r="I177" s="179"/>
      <c r="J177" s="179"/>
    </row>
    <row r="178" spans="2:11" ht="64.5" thickBot="1">
      <c r="B178" s="32" t="s">
        <v>80</v>
      </c>
      <c r="C178" s="30" t="s">
        <v>54</v>
      </c>
      <c r="D178" s="29" t="s">
        <v>83</v>
      </c>
      <c r="E178" s="28"/>
      <c r="F178" s="28"/>
      <c r="G178" s="28"/>
      <c r="H178" s="28"/>
      <c r="I178" s="28"/>
      <c r="J178" s="30" t="s">
        <v>226</v>
      </c>
      <c r="K178" s="27"/>
    </row>
    <row r="179" spans="2:10" ht="26.25" customHeight="1">
      <c r="B179" s="38">
        <v>665000</v>
      </c>
      <c r="C179" s="38">
        <v>2149</v>
      </c>
      <c r="D179" s="38">
        <f>B179*C179</f>
        <v>1429085000</v>
      </c>
      <c r="E179" s="38"/>
      <c r="F179" s="38"/>
      <c r="G179" s="38"/>
      <c r="H179" s="38"/>
      <c r="I179" s="38"/>
      <c r="J179" s="38">
        <f>D179+(D179*$C$110)</f>
        <v>2000719000</v>
      </c>
    </row>
    <row r="181" spans="2:10" ht="13.5" thickBot="1">
      <c r="B181" s="179" t="s">
        <v>207</v>
      </c>
      <c r="C181" s="179"/>
      <c r="D181" s="179"/>
      <c r="E181" s="179"/>
      <c r="F181" s="179"/>
      <c r="G181" s="179"/>
      <c r="H181" s="179"/>
      <c r="I181" s="179"/>
      <c r="J181" s="179"/>
    </row>
    <row r="182" spans="2:10" ht="64.5" thickBot="1">
      <c r="B182" s="32" t="s">
        <v>80</v>
      </c>
      <c r="C182" s="30" t="s">
        <v>54</v>
      </c>
      <c r="D182" s="29" t="s">
        <v>83</v>
      </c>
      <c r="E182" s="28"/>
      <c r="F182" s="28"/>
      <c r="G182" s="28"/>
      <c r="H182" s="28"/>
      <c r="I182" s="28"/>
      <c r="J182" s="30" t="s">
        <v>281</v>
      </c>
    </row>
    <row r="183" spans="2:10" ht="12.75">
      <c r="B183" s="38">
        <v>665000</v>
      </c>
      <c r="C183" s="38">
        <v>180</v>
      </c>
      <c r="D183" s="38">
        <f>B183*C183</f>
        <v>119700000</v>
      </c>
      <c r="E183" s="38"/>
      <c r="F183" s="38"/>
      <c r="G183" s="38"/>
      <c r="H183" s="38"/>
      <c r="I183" s="38"/>
      <c r="J183" s="38">
        <f>D183+(D183*$C$122)</f>
        <v>165186000</v>
      </c>
    </row>
    <row r="184" ht="13.5" thickBot="1"/>
    <row r="185" spans="4:10" ht="13.5" thickBot="1">
      <c r="D185" s="117" t="s">
        <v>153</v>
      </c>
      <c r="E185" s="123"/>
      <c r="F185" s="124"/>
      <c r="G185" s="124"/>
      <c r="H185" s="124"/>
      <c r="I185" s="124"/>
      <c r="J185" s="118">
        <f>J179+J183</f>
        <v>2165905000</v>
      </c>
    </row>
  </sheetData>
  <mergeCells count="50">
    <mergeCell ref="A30:K30"/>
    <mergeCell ref="A101:K101"/>
    <mergeCell ref="A60:K60"/>
    <mergeCell ref="A82:K82"/>
    <mergeCell ref="A59:K59"/>
    <mergeCell ref="A32:K32"/>
    <mergeCell ref="A33:K33"/>
    <mergeCell ref="A34:K34"/>
    <mergeCell ref="A56:K56"/>
    <mergeCell ref="A62:K62"/>
    <mergeCell ref="A2:K2"/>
    <mergeCell ref="A4:K4"/>
    <mergeCell ref="A5:K5"/>
    <mergeCell ref="A6:K6"/>
    <mergeCell ref="A74:K74"/>
    <mergeCell ref="A58:K58"/>
    <mergeCell ref="A106:K106"/>
    <mergeCell ref="A104:K104"/>
    <mergeCell ref="A107:K107"/>
    <mergeCell ref="A131:K131"/>
    <mergeCell ref="A123:K123"/>
    <mergeCell ref="A109:K109"/>
    <mergeCell ref="A154:K154"/>
    <mergeCell ref="A133:K133"/>
    <mergeCell ref="A134:K134"/>
    <mergeCell ref="A135:K135"/>
    <mergeCell ref="A149:K149"/>
    <mergeCell ref="A153:K153"/>
    <mergeCell ref="A152:K152"/>
    <mergeCell ref="A151:K151"/>
    <mergeCell ref="A155:K155"/>
    <mergeCell ref="A8:K8"/>
    <mergeCell ref="A22:K22"/>
    <mergeCell ref="A36:K36"/>
    <mergeCell ref="A48:K48"/>
    <mergeCell ref="A84:K84"/>
    <mergeCell ref="A85:K85"/>
    <mergeCell ref="A86:K86"/>
    <mergeCell ref="A103:K103"/>
    <mergeCell ref="A105:K105"/>
    <mergeCell ref="B157:J157"/>
    <mergeCell ref="B162:J162"/>
    <mergeCell ref="B177:J177"/>
    <mergeCell ref="B181:J181"/>
    <mergeCell ref="A174:K174"/>
    <mergeCell ref="A171:K171"/>
    <mergeCell ref="A172:K172"/>
    <mergeCell ref="A173:K173"/>
    <mergeCell ref="A169:K169"/>
    <mergeCell ref="A175:K175"/>
  </mergeCells>
  <printOptions horizontalCentered="1" verticalCentered="1"/>
  <pageMargins left="0.7874015748031497" right="0.7874015748031497" top="0.1968503937007874" bottom="0.984251968503937" header="0.5118110236220472" footer="0.5118110236220472"/>
  <pageSetup horizontalDpi="300" verticalDpi="300" orientation="portrait" paperSize="9" scale="95" r:id="rId1"/>
  <rowBreaks count="7" manualBreakCount="7">
    <brk id="28" max="255" man="1"/>
    <brk id="54" max="255" man="1"/>
    <brk id="80" max="255" man="1"/>
    <brk id="99" max="255" man="1"/>
    <brk id="129" max="255" man="1"/>
    <brk id="147" max="255" man="1"/>
    <brk id="16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H89"/>
  <sheetViews>
    <sheetView zoomScale="75" zoomScaleNormal="75" workbookViewId="0" topLeftCell="A1">
      <selection activeCell="AB78" sqref="AB78"/>
    </sheetView>
  </sheetViews>
  <sheetFormatPr defaultColWidth="9.140625" defaultRowHeight="12.75"/>
  <cols>
    <col min="1" max="1" width="10.7109375" style="1" customWidth="1"/>
    <col min="2" max="2" width="11.8515625" style="1" customWidth="1"/>
    <col min="3" max="3" width="10.421875" style="1" customWidth="1"/>
    <col min="4" max="4" width="13.140625" style="1" bestFit="1" customWidth="1"/>
    <col min="5" max="5" width="12.8515625" style="1" hidden="1" customWidth="1"/>
    <col min="6" max="6" width="9.140625" style="1" hidden="1" customWidth="1"/>
    <col min="7" max="7" width="11.57421875" style="1" hidden="1" customWidth="1"/>
    <col min="8" max="8" width="13.28125" style="1" hidden="1" customWidth="1"/>
    <col min="9" max="11" width="9.28125" style="1" hidden="1" customWidth="1"/>
    <col min="12" max="12" width="12.140625" style="1" hidden="1" customWidth="1"/>
    <col min="13" max="13" width="9.28125" style="1" hidden="1" customWidth="1"/>
    <col min="14" max="18" width="9.8515625" style="1" hidden="1" customWidth="1"/>
    <col min="19" max="19" width="9.28125" style="1" hidden="1" customWidth="1"/>
    <col min="20" max="20" width="9.8515625" style="1" hidden="1" customWidth="1"/>
    <col min="21" max="23" width="14.7109375" style="1" hidden="1" customWidth="1"/>
    <col min="24" max="24" width="13.8515625" style="1" bestFit="1" customWidth="1"/>
    <col min="25" max="25" width="15.57421875" style="1" bestFit="1" customWidth="1"/>
    <col min="26" max="26" width="16.57421875" style="1" bestFit="1" customWidth="1"/>
    <col min="27" max="28" width="17.00390625" style="1" bestFit="1" customWidth="1"/>
    <col min="29" max="29" width="17.00390625" style="1" customWidth="1"/>
    <col min="30" max="30" width="12.140625" style="1" customWidth="1"/>
    <col min="31" max="32" width="12.7109375" style="1" customWidth="1"/>
    <col min="33" max="16384" width="9.140625" style="1" customWidth="1"/>
  </cols>
  <sheetData>
    <row r="1" ht="12.75">
      <c r="A1" t="s">
        <v>70</v>
      </c>
    </row>
    <row r="2" spans="1:32" ht="23.25">
      <c r="A2" s="191" t="s">
        <v>22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</row>
    <row r="3" spans="1:32" ht="23.25">
      <c r="A3" s="191" t="s">
        <v>100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</row>
    <row r="4" spans="1:30" ht="8.2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</row>
    <row r="5" spans="1:32" ht="23.25">
      <c r="A5" s="191" t="s">
        <v>157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</row>
    <row r="6" spans="1:30" ht="11.25" customHeight="1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</row>
    <row r="7" spans="1:30" ht="23.25" hidden="1">
      <c r="A7" s="60"/>
      <c r="B7" s="60"/>
      <c r="C7" s="60"/>
      <c r="D7" s="60"/>
      <c r="E7" s="60" t="s">
        <v>101</v>
      </c>
      <c r="F7" s="60"/>
      <c r="G7" s="60"/>
      <c r="H7" s="60" t="s">
        <v>101</v>
      </c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 t="s">
        <v>101</v>
      </c>
      <c r="Y7" s="60" t="s">
        <v>101</v>
      </c>
      <c r="Z7" s="60" t="s">
        <v>101</v>
      </c>
      <c r="AA7" s="60" t="s">
        <v>101</v>
      </c>
      <c r="AB7" s="60" t="s">
        <v>101</v>
      </c>
      <c r="AC7" s="60" t="s">
        <v>101</v>
      </c>
      <c r="AD7" s="60"/>
    </row>
    <row r="8" spans="24:29" ht="12.75" hidden="1">
      <c r="X8" s="56">
        <v>36496</v>
      </c>
      <c r="Y8" s="56" t="s">
        <v>102</v>
      </c>
      <c r="Z8" s="56">
        <v>36505</v>
      </c>
      <c r="AA8" s="56" t="s">
        <v>103</v>
      </c>
      <c r="AB8" s="56">
        <v>36496</v>
      </c>
      <c r="AC8" s="56">
        <v>36496</v>
      </c>
    </row>
    <row r="9" spans="1:30" ht="143.25" customHeight="1" hidden="1">
      <c r="A9" s="2" t="s">
        <v>1</v>
      </c>
      <c r="B9" s="15" t="s">
        <v>104</v>
      </c>
      <c r="C9" s="15" t="s">
        <v>105</v>
      </c>
      <c r="D9" s="15" t="s">
        <v>4</v>
      </c>
      <c r="E9" s="15" t="s">
        <v>106</v>
      </c>
      <c r="F9" s="15" t="s">
        <v>107</v>
      </c>
      <c r="G9" s="15" t="s">
        <v>6</v>
      </c>
      <c r="H9" s="15" t="s">
        <v>15</v>
      </c>
      <c r="I9" s="15" t="s">
        <v>108</v>
      </c>
      <c r="J9" s="15" t="s">
        <v>109</v>
      </c>
      <c r="K9" s="15" t="s">
        <v>110</v>
      </c>
      <c r="L9" s="15" t="s">
        <v>111</v>
      </c>
      <c r="M9" s="4" t="s">
        <v>112</v>
      </c>
      <c r="N9" s="15" t="s">
        <v>227</v>
      </c>
      <c r="O9" s="61" t="s">
        <v>228</v>
      </c>
      <c r="P9" s="61" t="s">
        <v>95</v>
      </c>
      <c r="Q9" s="61" t="s">
        <v>96</v>
      </c>
      <c r="R9" s="4" t="s">
        <v>113</v>
      </c>
      <c r="S9" s="4" t="s">
        <v>90</v>
      </c>
      <c r="T9" s="4" t="s">
        <v>87</v>
      </c>
      <c r="U9" s="15" t="s">
        <v>229</v>
      </c>
      <c r="V9" s="15" t="s">
        <v>95</v>
      </c>
      <c r="W9" s="15" t="s">
        <v>96</v>
      </c>
      <c r="X9" s="15" t="s">
        <v>230</v>
      </c>
      <c r="Y9" s="15" t="s">
        <v>231</v>
      </c>
      <c r="Z9" s="15" t="s">
        <v>232</v>
      </c>
      <c r="AA9" s="15" t="s">
        <v>233</v>
      </c>
      <c r="AB9" s="15" t="s">
        <v>234</v>
      </c>
      <c r="AC9" s="15" t="s">
        <v>235</v>
      </c>
      <c r="AD9" s="15" t="s">
        <v>114</v>
      </c>
    </row>
    <row r="10" spans="1:31" ht="12.75" hidden="1">
      <c r="A10" s="14">
        <v>1</v>
      </c>
      <c r="B10" s="62">
        <v>10178000</v>
      </c>
      <c r="C10" s="7" t="s">
        <v>7</v>
      </c>
      <c r="D10" s="62">
        <v>12966576</v>
      </c>
      <c r="E10" s="5">
        <f aca="true" t="shared" si="0" ref="E10:E28">D10-B10</f>
        <v>2788576</v>
      </c>
      <c r="F10" s="5">
        <v>590000</v>
      </c>
      <c r="G10" s="5">
        <v>1847484</v>
      </c>
      <c r="H10" s="5">
        <f aca="true" t="shared" si="1" ref="H10:H28">G10-F10</f>
        <v>1257484</v>
      </c>
      <c r="I10" s="5">
        <f aca="true" t="shared" si="2" ref="I10:I28">AD10*12</f>
        <v>540000</v>
      </c>
      <c r="J10" s="5">
        <f aca="true" t="shared" si="3" ref="J10:J28">H10-I10</f>
        <v>717484</v>
      </c>
      <c r="K10" s="5">
        <f aca="true" t="shared" si="4" ref="K10:K28">J10*50%</f>
        <v>358742</v>
      </c>
      <c r="L10" s="5">
        <f aca="true" t="shared" si="5" ref="L10:L28">I10+K10</f>
        <v>898742</v>
      </c>
      <c r="M10" s="5">
        <f aca="true" t="shared" si="6" ref="M10:M28">J10*50%</f>
        <v>358742</v>
      </c>
      <c r="N10" s="5">
        <f>E10+(E10*39%)</f>
        <v>3876120.64</v>
      </c>
      <c r="O10" s="5">
        <f>(M10*39%)+M10</f>
        <v>498651.38</v>
      </c>
      <c r="P10" s="5">
        <f aca="true" t="shared" si="7" ref="P10:P28">O10/13*2</f>
        <v>76715.59692307693</v>
      </c>
      <c r="Q10" s="5">
        <f aca="true" t="shared" si="8" ref="Q10:Q28">(P10/13)*11</f>
        <v>64913.19739644971</v>
      </c>
      <c r="R10" s="5">
        <f aca="true" t="shared" si="9" ref="R10:R28">N10/2</f>
        <v>1938060.32</v>
      </c>
      <c r="S10" s="5">
        <f aca="true" t="shared" si="10" ref="S10:S28">(R10/12)*2</f>
        <v>323010.05333333334</v>
      </c>
      <c r="T10" s="5">
        <f aca="true" t="shared" si="11" ref="T10:T28">(R10/12)*11</f>
        <v>1776555.2933333335</v>
      </c>
      <c r="U10" s="5">
        <f>(L10+(L10*39%))</f>
        <v>1249251.38</v>
      </c>
      <c r="V10" s="5">
        <f aca="true" t="shared" si="12" ref="V10:V28">(U10/13)*2</f>
        <v>192192.52</v>
      </c>
      <c r="W10" s="5">
        <f aca="true" t="shared" si="13" ref="W10:W28">(U10/13)*11</f>
        <v>1057058.8599999999</v>
      </c>
      <c r="X10" s="5">
        <f aca="true" t="shared" si="14" ref="X10:X28">S10*AE10</f>
        <v>1615050.2666666666</v>
      </c>
      <c r="Y10" s="5">
        <f aca="true" t="shared" si="15" ref="Y10:Y28">V10*AE10</f>
        <v>960962.6</v>
      </c>
      <c r="Z10" s="5">
        <f aca="true" t="shared" si="16" ref="Z10:Z28">T10*AE10</f>
        <v>8882776.466666667</v>
      </c>
      <c r="AA10" s="5">
        <f aca="true" t="shared" si="17" ref="AA10:AA28">W10*AE10</f>
        <v>5285294.299999999</v>
      </c>
      <c r="AB10" s="5">
        <f aca="true" t="shared" si="18" ref="AB10:AB28">S10*AE10</f>
        <v>1615050.2666666666</v>
      </c>
      <c r="AC10" s="5">
        <f aca="true" t="shared" si="19" ref="AC10:AC28">P10*AE10</f>
        <v>383577.9846153846</v>
      </c>
      <c r="AD10" s="5">
        <v>45000</v>
      </c>
      <c r="AE10" s="1">
        <v>5</v>
      </c>
    </row>
    <row r="11" spans="1:31" ht="12.75" hidden="1">
      <c r="A11" s="14" t="s">
        <v>115</v>
      </c>
      <c r="B11" s="62">
        <v>10562000</v>
      </c>
      <c r="C11" s="7" t="s">
        <v>7</v>
      </c>
      <c r="D11" s="62">
        <v>12966576</v>
      </c>
      <c r="E11" s="5">
        <f t="shared" si="0"/>
        <v>2404576</v>
      </c>
      <c r="F11" s="5">
        <v>590000</v>
      </c>
      <c r="G11" s="5">
        <v>1847484</v>
      </c>
      <c r="H11" s="5">
        <f t="shared" si="1"/>
        <v>1257484</v>
      </c>
      <c r="I11" s="5">
        <f t="shared" si="2"/>
        <v>540000</v>
      </c>
      <c r="J11" s="5">
        <f t="shared" si="3"/>
        <v>717484</v>
      </c>
      <c r="K11" s="5">
        <f t="shared" si="4"/>
        <v>358742</v>
      </c>
      <c r="L11" s="5">
        <f t="shared" si="5"/>
        <v>898742</v>
      </c>
      <c r="M11" s="5">
        <f t="shared" si="6"/>
        <v>358742</v>
      </c>
      <c r="N11" s="5">
        <f aca="true" t="shared" si="20" ref="N11:N28">E11+(E11*39%)</f>
        <v>3342360.64</v>
      </c>
      <c r="O11" s="5">
        <f aca="true" t="shared" si="21" ref="O11:O28">(M11*39%)+M11</f>
        <v>498651.38</v>
      </c>
      <c r="P11" s="5">
        <f t="shared" si="7"/>
        <v>76715.59692307693</v>
      </c>
      <c r="Q11" s="5">
        <f t="shared" si="8"/>
        <v>64913.19739644971</v>
      </c>
      <c r="R11" s="5">
        <f t="shared" si="9"/>
        <v>1671180.32</v>
      </c>
      <c r="S11" s="5">
        <f t="shared" si="10"/>
        <v>278530.05333333334</v>
      </c>
      <c r="T11" s="5">
        <f t="shared" si="11"/>
        <v>1531915.2933333335</v>
      </c>
      <c r="U11" s="5">
        <f aca="true" t="shared" si="22" ref="U11:U28">(L11+(L11*39%))</f>
        <v>1249251.38</v>
      </c>
      <c r="V11" s="5">
        <f t="shared" si="12"/>
        <v>192192.52</v>
      </c>
      <c r="W11" s="5">
        <f t="shared" si="13"/>
        <v>1057058.8599999999</v>
      </c>
      <c r="X11" s="5">
        <f t="shared" si="14"/>
        <v>557060.1066666667</v>
      </c>
      <c r="Y11" s="5">
        <f t="shared" si="15"/>
        <v>384385.04</v>
      </c>
      <c r="Z11" s="5">
        <f t="shared" si="16"/>
        <v>3063830.586666667</v>
      </c>
      <c r="AA11" s="5">
        <f t="shared" si="17"/>
        <v>2114117.7199999997</v>
      </c>
      <c r="AB11" s="5">
        <f t="shared" si="18"/>
        <v>557060.1066666667</v>
      </c>
      <c r="AC11" s="5">
        <f t="shared" si="19"/>
        <v>153431.19384615385</v>
      </c>
      <c r="AD11" s="5">
        <v>45000</v>
      </c>
      <c r="AE11" s="1">
        <v>2</v>
      </c>
    </row>
    <row r="12" spans="1:31" ht="12.75" hidden="1">
      <c r="A12" s="14">
        <v>2</v>
      </c>
      <c r="B12" s="62">
        <v>11294000</v>
      </c>
      <c r="C12" s="7" t="s">
        <v>7</v>
      </c>
      <c r="D12" s="62">
        <v>12966576</v>
      </c>
      <c r="E12" s="5">
        <f t="shared" si="0"/>
        <v>1672576</v>
      </c>
      <c r="F12" s="5">
        <v>680000</v>
      </c>
      <c r="G12" s="5">
        <v>1847484</v>
      </c>
      <c r="H12" s="5">
        <f t="shared" si="1"/>
        <v>1167484</v>
      </c>
      <c r="I12" s="5">
        <f t="shared" si="2"/>
        <v>540000</v>
      </c>
      <c r="J12" s="5">
        <f t="shared" si="3"/>
        <v>627484</v>
      </c>
      <c r="K12" s="5">
        <f t="shared" si="4"/>
        <v>313742</v>
      </c>
      <c r="L12" s="5">
        <f t="shared" si="5"/>
        <v>853742</v>
      </c>
      <c r="M12" s="5">
        <f t="shared" si="6"/>
        <v>313742</v>
      </c>
      <c r="N12" s="5">
        <f t="shared" si="20"/>
        <v>2324880.64</v>
      </c>
      <c r="O12" s="5">
        <f t="shared" si="21"/>
        <v>436101.38</v>
      </c>
      <c r="P12" s="5">
        <f t="shared" si="7"/>
        <v>67092.52</v>
      </c>
      <c r="Q12" s="5">
        <f t="shared" si="8"/>
        <v>56770.593846153846</v>
      </c>
      <c r="R12" s="5">
        <f t="shared" si="9"/>
        <v>1162440.32</v>
      </c>
      <c r="S12" s="5">
        <f t="shared" si="10"/>
        <v>193740.05333333334</v>
      </c>
      <c r="T12" s="5">
        <f t="shared" si="11"/>
        <v>1065570.2933333335</v>
      </c>
      <c r="U12" s="5">
        <f t="shared" si="22"/>
        <v>1186701.38</v>
      </c>
      <c r="V12" s="5">
        <f t="shared" si="12"/>
        <v>182569.44307692305</v>
      </c>
      <c r="W12" s="5">
        <f t="shared" si="13"/>
        <v>1004131.9369230767</v>
      </c>
      <c r="X12" s="5">
        <f t="shared" si="14"/>
        <v>1356180.3733333335</v>
      </c>
      <c r="Y12" s="5">
        <f t="shared" si="15"/>
        <v>1277986.1015384614</v>
      </c>
      <c r="Z12" s="5">
        <f t="shared" si="16"/>
        <v>7458992.053333335</v>
      </c>
      <c r="AA12" s="5">
        <f t="shared" si="17"/>
        <v>7028923.558461538</v>
      </c>
      <c r="AB12" s="5">
        <f t="shared" si="18"/>
        <v>1356180.3733333335</v>
      </c>
      <c r="AC12" s="5">
        <f t="shared" si="19"/>
        <v>469647.64</v>
      </c>
      <c r="AD12" s="5">
        <v>45000</v>
      </c>
      <c r="AE12" s="1">
        <v>7</v>
      </c>
    </row>
    <row r="13" spans="1:31" ht="12.75" hidden="1">
      <c r="A13" s="14" t="s">
        <v>116</v>
      </c>
      <c r="B13" s="62">
        <v>11750000</v>
      </c>
      <c r="C13" s="7" t="s">
        <v>7</v>
      </c>
      <c r="D13" s="62">
        <v>12966576</v>
      </c>
      <c r="E13" s="5">
        <f t="shared" si="0"/>
        <v>1216576</v>
      </c>
      <c r="F13" s="5">
        <v>680000</v>
      </c>
      <c r="G13" s="5">
        <v>1847484</v>
      </c>
      <c r="H13" s="5">
        <f t="shared" si="1"/>
        <v>1167484</v>
      </c>
      <c r="I13" s="5">
        <f t="shared" si="2"/>
        <v>540000</v>
      </c>
      <c r="J13" s="5">
        <f t="shared" si="3"/>
        <v>627484</v>
      </c>
      <c r="K13" s="5">
        <f t="shared" si="4"/>
        <v>313742</v>
      </c>
      <c r="L13" s="5">
        <f t="shared" si="5"/>
        <v>853742</v>
      </c>
      <c r="M13" s="5">
        <f t="shared" si="6"/>
        <v>313742</v>
      </c>
      <c r="N13" s="5">
        <f t="shared" si="20"/>
        <v>1691040.6400000001</v>
      </c>
      <c r="O13" s="5">
        <f t="shared" si="21"/>
        <v>436101.38</v>
      </c>
      <c r="P13" s="5">
        <f t="shared" si="7"/>
        <v>67092.52</v>
      </c>
      <c r="Q13" s="5">
        <f t="shared" si="8"/>
        <v>56770.593846153846</v>
      </c>
      <c r="R13" s="5">
        <f t="shared" si="9"/>
        <v>845520.3200000001</v>
      </c>
      <c r="S13" s="5">
        <f t="shared" si="10"/>
        <v>140920.05333333334</v>
      </c>
      <c r="T13" s="5">
        <f t="shared" si="11"/>
        <v>775060.2933333335</v>
      </c>
      <c r="U13" s="5">
        <f t="shared" si="22"/>
        <v>1186701.38</v>
      </c>
      <c r="V13" s="5">
        <f t="shared" si="12"/>
        <v>182569.44307692305</v>
      </c>
      <c r="W13" s="5">
        <f t="shared" si="13"/>
        <v>1004131.9369230767</v>
      </c>
      <c r="X13" s="5">
        <f t="shared" si="14"/>
        <v>281840.1066666667</v>
      </c>
      <c r="Y13" s="5">
        <f t="shared" si="15"/>
        <v>365138.8861538461</v>
      </c>
      <c r="Z13" s="5">
        <f t="shared" si="16"/>
        <v>1550120.586666667</v>
      </c>
      <c r="AA13" s="5">
        <f t="shared" si="17"/>
        <v>2008263.8738461535</v>
      </c>
      <c r="AB13" s="5">
        <f t="shared" si="18"/>
        <v>281840.1066666667</v>
      </c>
      <c r="AC13" s="5">
        <f t="shared" si="19"/>
        <v>134185.04</v>
      </c>
      <c r="AD13" s="5">
        <v>45000</v>
      </c>
      <c r="AE13" s="1">
        <v>2</v>
      </c>
    </row>
    <row r="14" spans="1:31" ht="12.75" hidden="1">
      <c r="A14" s="14">
        <v>3</v>
      </c>
      <c r="B14" s="62">
        <v>12489000</v>
      </c>
      <c r="C14" s="7" t="s">
        <v>7</v>
      </c>
      <c r="D14" s="62">
        <v>12966576</v>
      </c>
      <c r="E14" s="5">
        <f t="shared" si="0"/>
        <v>477576</v>
      </c>
      <c r="F14" s="5">
        <v>757762</v>
      </c>
      <c r="G14" s="5">
        <v>2001441</v>
      </c>
      <c r="H14" s="5">
        <f t="shared" si="1"/>
        <v>1243679</v>
      </c>
      <c r="I14" s="5">
        <f t="shared" si="2"/>
        <v>540000</v>
      </c>
      <c r="J14" s="5">
        <f t="shared" si="3"/>
        <v>703679</v>
      </c>
      <c r="K14" s="5">
        <f t="shared" si="4"/>
        <v>351839.5</v>
      </c>
      <c r="L14" s="5">
        <f t="shared" si="5"/>
        <v>891839.5</v>
      </c>
      <c r="M14" s="5">
        <f t="shared" si="6"/>
        <v>351839.5</v>
      </c>
      <c r="N14" s="5">
        <f t="shared" si="20"/>
        <v>663830.64</v>
      </c>
      <c r="O14" s="5">
        <f t="shared" si="21"/>
        <v>489056.905</v>
      </c>
      <c r="P14" s="5">
        <f t="shared" si="7"/>
        <v>75239.52384615385</v>
      </c>
      <c r="Q14" s="5">
        <f t="shared" si="8"/>
        <v>63664.212485207114</v>
      </c>
      <c r="R14" s="5">
        <f t="shared" si="9"/>
        <v>331915.32</v>
      </c>
      <c r="S14" s="5">
        <f t="shared" si="10"/>
        <v>55319.22</v>
      </c>
      <c r="T14" s="5">
        <f t="shared" si="11"/>
        <v>304255.71</v>
      </c>
      <c r="U14" s="5">
        <f t="shared" si="22"/>
        <v>1239656.905</v>
      </c>
      <c r="V14" s="5">
        <f t="shared" si="12"/>
        <v>190716.44692307693</v>
      </c>
      <c r="W14" s="5">
        <f t="shared" si="13"/>
        <v>1048940.4580769232</v>
      </c>
      <c r="X14" s="5">
        <f t="shared" si="14"/>
        <v>4702133.7</v>
      </c>
      <c r="Y14" s="5">
        <f t="shared" si="15"/>
        <v>16210897.98846154</v>
      </c>
      <c r="Z14" s="5">
        <f t="shared" si="16"/>
        <v>25861735.35</v>
      </c>
      <c r="AA14" s="5">
        <f t="shared" si="17"/>
        <v>89159938.93653847</v>
      </c>
      <c r="AB14" s="5">
        <f t="shared" si="18"/>
        <v>4702133.7</v>
      </c>
      <c r="AC14" s="5">
        <f t="shared" si="19"/>
        <v>6395359.526923077</v>
      </c>
      <c r="AD14" s="5">
        <v>45000</v>
      </c>
      <c r="AE14" s="1">
        <v>85</v>
      </c>
    </row>
    <row r="15" spans="1:31" ht="12.75" hidden="1">
      <c r="A15" s="14" t="s">
        <v>117</v>
      </c>
      <c r="B15" s="62">
        <v>12889000</v>
      </c>
      <c r="C15" s="7" t="s">
        <v>7</v>
      </c>
      <c r="D15" s="62">
        <v>12966576</v>
      </c>
      <c r="E15" s="5">
        <f t="shared" si="0"/>
        <v>77576</v>
      </c>
      <c r="F15" s="5">
        <v>757762</v>
      </c>
      <c r="G15" s="5">
        <v>2001441</v>
      </c>
      <c r="H15" s="5">
        <f t="shared" si="1"/>
        <v>1243679</v>
      </c>
      <c r="I15" s="5">
        <f t="shared" si="2"/>
        <v>540000</v>
      </c>
      <c r="J15" s="5">
        <f t="shared" si="3"/>
        <v>703679</v>
      </c>
      <c r="K15" s="5">
        <f t="shared" si="4"/>
        <v>351839.5</v>
      </c>
      <c r="L15" s="5">
        <f t="shared" si="5"/>
        <v>891839.5</v>
      </c>
      <c r="M15" s="5">
        <f t="shared" si="6"/>
        <v>351839.5</v>
      </c>
      <c r="N15" s="5">
        <f t="shared" si="20"/>
        <v>107830.64</v>
      </c>
      <c r="O15" s="5">
        <f t="shared" si="21"/>
        <v>489056.905</v>
      </c>
      <c r="P15" s="5">
        <f t="shared" si="7"/>
        <v>75239.52384615385</v>
      </c>
      <c r="Q15" s="5">
        <f t="shared" si="8"/>
        <v>63664.212485207114</v>
      </c>
      <c r="R15" s="5">
        <f t="shared" si="9"/>
        <v>53915.32</v>
      </c>
      <c r="S15" s="5">
        <f t="shared" si="10"/>
        <v>8985.886666666667</v>
      </c>
      <c r="T15" s="5">
        <f t="shared" si="11"/>
        <v>49422.37666666667</v>
      </c>
      <c r="U15" s="5">
        <f t="shared" si="22"/>
        <v>1239656.905</v>
      </c>
      <c r="V15" s="5">
        <f t="shared" si="12"/>
        <v>190716.44692307693</v>
      </c>
      <c r="W15" s="5">
        <f t="shared" si="13"/>
        <v>1048940.4580769232</v>
      </c>
      <c r="X15" s="5">
        <f t="shared" si="14"/>
        <v>485237.88</v>
      </c>
      <c r="Y15" s="5">
        <f t="shared" si="15"/>
        <v>10298688.133846154</v>
      </c>
      <c r="Z15" s="5">
        <f t="shared" si="16"/>
        <v>2668808.3400000003</v>
      </c>
      <c r="AA15" s="5">
        <f t="shared" si="17"/>
        <v>56642784.73615385</v>
      </c>
      <c r="AB15" s="5">
        <f t="shared" si="18"/>
        <v>485237.88</v>
      </c>
      <c r="AC15" s="5">
        <f t="shared" si="19"/>
        <v>4062934.287692308</v>
      </c>
      <c r="AD15" s="5">
        <v>45000</v>
      </c>
      <c r="AE15" s="1">
        <v>54</v>
      </c>
    </row>
    <row r="16" spans="1:31" ht="12.75" hidden="1">
      <c r="A16" s="14">
        <v>3</v>
      </c>
      <c r="B16" s="62">
        <v>12489000</v>
      </c>
      <c r="C16" s="7" t="s">
        <v>8</v>
      </c>
      <c r="D16" s="62">
        <v>14439948</v>
      </c>
      <c r="E16" s="5">
        <f t="shared" si="0"/>
        <v>1950948</v>
      </c>
      <c r="F16" s="5">
        <v>757762</v>
      </c>
      <c r="G16" s="5">
        <v>2162212</v>
      </c>
      <c r="H16" s="5">
        <f t="shared" si="1"/>
        <v>1404450</v>
      </c>
      <c r="I16" s="5">
        <f t="shared" si="2"/>
        <v>540000</v>
      </c>
      <c r="J16" s="5">
        <f t="shared" si="3"/>
        <v>864450</v>
      </c>
      <c r="K16" s="5">
        <f t="shared" si="4"/>
        <v>432225</v>
      </c>
      <c r="L16" s="5">
        <f t="shared" si="5"/>
        <v>972225</v>
      </c>
      <c r="M16" s="5">
        <f t="shared" si="6"/>
        <v>432225</v>
      </c>
      <c r="N16" s="5">
        <f t="shared" si="20"/>
        <v>2711817.7199999997</v>
      </c>
      <c r="O16" s="5">
        <f t="shared" si="21"/>
        <v>600792.75</v>
      </c>
      <c r="P16" s="5">
        <f t="shared" si="7"/>
        <v>92429.65384615384</v>
      </c>
      <c r="Q16" s="5">
        <f t="shared" si="8"/>
        <v>78209.70710059172</v>
      </c>
      <c r="R16" s="5">
        <f t="shared" si="9"/>
        <v>1355908.8599999999</v>
      </c>
      <c r="S16" s="5">
        <f t="shared" si="10"/>
        <v>225984.80999999997</v>
      </c>
      <c r="T16" s="5">
        <f t="shared" si="11"/>
        <v>1242916.4549999998</v>
      </c>
      <c r="U16" s="5">
        <f t="shared" si="22"/>
        <v>1351392.75</v>
      </c>
      <c r="V16" s="5">
        <f t="shared" si="12"/>
        <v>207906.57692307694</v>
      </c>
      <c r="W16" s="5">
        <f t="shared" si="13"/>
        <v>1143486.1730769232</v>
      </c>
      <c r="X16" s="5">
        <f t="shared" si="14"/>
        <v>8135453.159999999</v>
      </c>
      <c r="Y16" s="5">
        <f t="shared" si="15"/>
        <v>7484636.76923077</v>
      </c>
      <c r="Z16" s="5">
        <f t="shared" si="16"/>
        <v>44744992.379999995</v>
      </c>
      <c r="AA16" s="5">
        <f t="shared" si="17"/>
        <v>41165502.23076924</v>
      </c>
      <c r="AB16" s="5">
        <f t="shared" si="18"/>
        <v>8135453.159999999</v>
      </c>
      <c r="AC16" s="5">
        <f t="shared" si="19"/>
        <v>3327467.5384615385</v>
      </c>
      <c r="AD16" s="5">
        <v>45000</v>
      </c>
      <c r="AE16" s="1">
        <v>36</v>
      </c>
    </row>
    <row r="17" spans="1:31" ht="12.75" hidden="1">
      <c r="A17" s="14" t="s">
        <v>117</v>
      </c>
      <c r="B17" s="62">
        <v>12889000</v>
      </c>
      <c r="C17" s="7" t="s">
        <v>8</v>
      </c>
      <c r="D17" s="62">
        <v>14439948</v>
      </c>
      <c r="E17" s="5">
        <f t="shared" si="0"/>
        <v>1550948</v>
      </c>
      <c r="F17" s="5">
        <v>757762</v>
      </c>
      <c r="G17" s="5">
        <v>2162212</v>
      </c>
      <c r="H17" s="5">
        <f t="shared" si="1"/>
        <v>1404450</v>
      </c>
      <c r="I17" s="5">
        <f t="shared" si="2"/>
        <v>540000</v>
      </c>
      <c r="J17" s="5">
        <f t="shared" si="3"/>
        <v>864450</v>
      </c>
      <c r="K17" s="5">
        <f t="shared" si="4"/>
        <v>432225</v>
      </c>
      <c r="L17" s="5">
        <f t="shared" si="5"/>
        <v>972225</v>
      </c>
      <c r="M17" s="5">
        <f t="shared" si="6"/>
        <v>432225</v>
      </c>
      <c r="N17" s="5">
        <f t="shared" si="20"/>
        <v>2155817.7199999997</v>
      </c>
      <c r="O17" s="5">
        <f t="shared" si="21"/>
        <v>600792.75</v>
      </c>
      <c r="P17" s="5">
        <f t="shared" si="7"/>
        <v>92429.65384615384</v>
      </c>
      <c r="Q17" s="5">
        <f t="shared" si="8"/>
        <v>78209.70710059172</v>
      </c>
      <c r="R17" s="5">
        <f t="shared" si="9"/>
        <v>1077908.8599999999</v>
      </c>
      <c r="S17" s="5">
        <f t="shared" si="10"/>
        <v>179651.47666666665</v>
      </c>
      <c r="T17" s="5">
        <f t="shared" si="11"/>
        <v>988083.1216666666</v>
      </c>
      <c r="U17" s="5">
        <f t="shared" si="22"/>
        <v>1351392.75</v>
      </c>
      <c r="V17" s="5">
        <f t="shared" si="12"/>
        <v>207906.57692307694</v>
      </c>
      <c r="W17" s="5">
        <f t="shared" si="13"/>
        <v>1143486.1730769232</v>
      </c>
      <c r="X17" s="5">
        <f t="shared" si="14"/>
        <v>4670938.393333333</v>
      </c>
      <c r="Y17" s="5">
        <f t="shared" si="15"/>
        <v>5405571</v>
      </c>
      <c r="Z17" s="5">
        <f t="shared" si="16"/>
        <v>25690161.16333333</v>
      </c>
      <c r="AA17" s="5">
        <f t="shared" si="17"/>
        <v>29730640.500000004</v>
      </c>
      <c r="AB17" s="5">
        <f t="shared" si="18"/>
        <v>4670938.393333333</v>
      </c>
      <c r="AC17" s="5">
        <f t="shared" si="19"/>
        <v>2403171</v>
      </c>
      <c r="AD17" s="5">
        <v>45000</v>
      </c>
      <c r="AE17" s="1">
        <v>26</v>
      </c>
    </row>
    <row r="18" spans="1:31" ht="12.75" hidden="1">
      <c r="A18" s="14">
        <v>4</v>
      </c>
      <c r="B18" s="62">
        <v>13741000</v>
      </c>
      <c r="C18" s="7" t="s">
        <v>9</v>
      </c>
      <c r="D18" s="62">
        <v>15419628</v>
      </c>
      <c r="E18" s="5">
        <f t="shared" si="0"/>
        <v>1678628</v>
      </c>
      <c r="F18" s="5">
        <v>847571</v>
      </c>
      <c r="G18" s="5">
        <v>2269787</v>
      </c>
      <c r="H18" s="5">
        <f t="shared" si="1"/>
        <v>1422216</v>
      </c>
      <c r="I18" s="5">
        <f t="shared" si="2"/>
        <v>540000</v>
      </c>
      <c r="J18" s="5">
        <f t="shared" si="3"/>
        <v>882216</v>
      </c>
      <c r="K18" s="5">
        <f t="shared" si="4"/>
        <v>441108</v>
      </c>
      <c r="L18" s="5">
        <f t="shared" si="5"/>
        <v>981108</v>
      </c>
      <c r="M18" s="5">
        <f t="shared" si="6"/>
        <v>441108</v>
      </c>
      <c r="N18" s="5">
        <f t="shared" si="20"/>
        <v>2333292.92</v>
      </c>
      <c r="O18" s="5">
        <f t="shared" si="21"/>
        <v>613140.12</v>
      </c>
      <c r="P18" s="5">
        <f t="shared" si="7"/>
        <v>94329.24923076923</v>
      </c>
      <c r="Q18" s="5">
        <f t="shared" si="8"/>
        <v>79817.05704142012</v>
      </c>
      <c r="R18" s="5">
        <f t="shared" si="9"/>
        <v>1166646.46</v>
      </c>
      <c r="S18" s="5">
        <f t="shared" si="10"/>
        <v>194441.07666666666</v>
      </c>
      <c r="T18" s="5">
        <f t="shared" si="11"/>
        <v>1069425.9216666666</v>
      </c>
      <c r="U18" s="5">
        <f t="shared" si="22"/>
        <v>1363740.12</v>
      </c>
      <c r="V18" s="5">
        <f t="shared" si="12"/>
        <v>209806.17230769232</v>
      </c>
      <c r="W18" s="5">
        <f t="shared" si="13"/>
        <v>1153933.9476923079</v>
      </c>
      <c r="X18" s="5">
        <f t="shared" si="14"/>
        <v>58526764.07666667</v>
      </c>
      <c r="Y18" s="5">
        <f t="shared" si="15"/>
        <v>63151657.86461539</v>
      </c>
      <c r="Z18" s="5">
        <f t="shared" si="16"/>
        <v>321897202.4216667</v>
      </c>
      <c r="AA18" s="5">
        <f t="shared" si="17"/>
        <v>347334118.2553847</v>
      </c>
      <c r="AB18" s="5">
        <f t="shared" si="18"/>
        <v>58526764.07666667</v>
      </c>
      <c r="AC18" s="5">
        <f t="shared" si="19"/>
        <v>28393104.018461537</v>
      </c>
      <c r="AD18" s="5">
        <v>45000</v>
      </c>
      <c r="AE18" s="1">
        <v>301</v>
      </c>
    </row>
    <row r="19" spans="1:31" ht="12.75" hidden="1">
      <c r="A19" s="14" t="s">
        <v>118</v>
      </c>
      <c r="B19" s="62">
        <v>14277000</v>
      </c>
      <c r="C19" s="7" t="s">
        <v>9</v>
      </c>
      <c r="D19" s="62">
        <v>15419628</v>
      </c>
      <c r="E19" s="5">
        <f t="shared" si="0"/>
        <v>1142628</v>
      </c>
      <c r="F19" s="5">
        <v>847571</v>
      </c>
      <c r="G19" s="5">
        <v>2269787</v>
      </c>
      <c r="H19" s="5">
        <f t="shared" si="1"/>
        <v>1422216</v>
      </c>
      <c r="I19" s="5">
        <f t="shared" si="2"/>
        <v>540000</v>
      </c>
      <c r="J19" s="5">
        <f t="shared" si="3"/>
        <v>882216</v>
      </c>
      <c r="K19" s="5">
        <f t="shared" si="4"/>
        <v>441108</v>
      </c>
      <c r="L19" s="5">
        <f t="shared" si="5"/>
        <v>981108</v>
      </c>
      <c r="M19" s="5">
        <f t="shared" si="6"/>
        <v>441108</v>
      </c>
      <c r="N19" s="5">
        <f t="shared" si="20"/>
        <v>1588252.92</v>
      </c>
      <c r="O19" s="5">
        <f t="shared" si="21"/>
        <v>613140.12</v>
      </c>
      <c r="P19" s="5">
        <f t="shared" si="7"/>
        <v>94329.24923076923</v>
      </c>
      <c r="Q19" s="5">
        <f t="shared" si="8"/>
        <v>79817.05704142012</v>
      </c>
      <c r="R19" s="5">
        <f t="shared" si="9"/>
        <v>794126.46</v>
      </c>
      <c r="S19" s="5">
        <f t="shared" si="10"/>
        <v>132354.41</v>
      </c>
      <c r="T19" s="5">
        <f t="shared" si="11"/>
        <v>727949.255</v>
      </c>
      <c r="U19" s="5">
        <f t="shared" si="22"/>
        <v>1363740.12</v>
      </c>
      <c r="V19" s="5">
        <f t="shared" si="12"/>
        <v>209806.17230769232</v>
      </c>
      <c r="W19" s="5">
        <f t="shared" si="13"/>
        <v>1153933.9476923079</v>
      </c>
      <c r="X19" s="5">
        <f t="shared" si="14"/>
        <v>59691838.910000004</v>
      </c>
      <c r="Y19" s="5">
        <f t="shared" si="15"/>
        <v>94622583.71076924</v>
      </c>
      <c r="Z19" s="5">
        <f t="shared" si="16"/>
        <v>328305114.005</v>
      </c>
      <c r="AA19" s="5">
        <f t="shared" si="17"/>
        <v>520424210.4092308</v>
      </c>
      <c r="AB19" s="5">
        <f t="shared" si="18"/>
        <v>59691838.910000004</v>
      </c>
      <c r="AC19" s="5">
        <f t="shared" si="19"/>
        <v>42542491.403076924</v>
      </c>
      <c r="AD19" s="5">
        <v>45000</v>
      </c>
      <c r="AE19" s="1">
        <v>451</v>
      </c>
    </row>
    <row r="20" spans="1:31" ht="12.75" hidden="1">
      <c r="A20" s="14">
        <v>5</v>
      </c>
      <c r="B20" s="62">
        <v>15285000</v>
      </c>
      <c r="C20" s="7" t="s">
        <v>10</v>
      </c>
      <c r="D20" s="62">
        <v>16096380</v>
      </c>
      <c r="E20" s="5">
        <f t="shared" si="0"/>
        <v>811380</v>
      </c>
      <c r="F20" s="5">
        <v>971058</v>
      </c>
      <c r="G20" s="5">
        <v>2350504</v>
      </c>
      <c r="H20" s="5">
        <f t="shared" si="1"/>
        <v>1379446</v>
      </c>
      <c r="I20" s="5">
        <f t="shared" si="2"/>
        <v>540000</v>
      </c>
      <c r="J20" s="5">
        <f t="shared" si="3"/>
        <v>839446</v>
      </c>
      <c r="K20" s="5">
        <f t="shared" si="4"/>
        <v>419723</v>
      </c>
      <c r="L20" s="5">
        <f t="shared" si="5"/>
        <v>959723</v>
      </c>
      <c r="M20" s="5">
        <f t="shared" si="6"/>
        <v>419723</v>
      </c>
      <c r="N20" s="5">
        <f t="shared" si="20"/>
        <v>1127818.2</v>
      </c>
      <c r="O20" s="5">
        <f t="shared" si="21"/>
        <v>583414.97</v>
      </c>
      <c r="P20" s="5">
        <f t="shared" si="7"/>
        <v>89756.14923076922</v>
      </c>
      <c r="Q20" s="5">
        <f t="shared" si="8"/>
        <v>75947.51088757395</v>
      </c>
      <c r="R20" s="5">
        <f t="shared" si="9"/>
        <v>563909.1</v>
      </c>
      <c r="S20" s="5">
        <f t="shared" si="10"/>
        <v>93984.84999999999</v>
      </c>
      <c r="T20" s="5">
        <f t="shared" si="11"/>
        <v>516916.67499999993</v>
      </c>
      <c r="U20" s="5">
        <f t="shared" si="22"/>
        <v>1334014.97</v>
      </c>
      <c r="V20" s="5">
        <f t="shared" si="12"/>
        <v>205233.07230769232</v>
      </c>
      <c r="W20" s="5">
        <f t="shared" si="13"/>
        <v>1128781.8976923078</v>
      </c>
      <c r="X20" s="5">
        <f t="shared" si="14"/>
        <v>3477439.4499999997</v>
      </c>
      <c r="Y20" s="5">
        <f t="shared" si="15"/>
        <v>7593623.675384616</v>
      </c>
      <c r="Z20" s="5">
        <f t="shared" si="16"/>
        <v>19125916.974999998</v>
      </c>
      <c r="AA20" s="5">
        <f t="shared" si="17"/>
        <v>41764930.21461539</v>
      </c>
      <c r="AB20" s="5">
        <f t="shared" si="18"/>
        <v>3477439.4499999997</v>
      </c>
      <c r="AC20" s="5">
        <f t="shared" si="19"/>
        <v>3320977.521538461</v>
      </c>
      <c r="AD20" s="5">
        <v>45000</v>
      </c>
      <c r="AE20" s="1">
        <v>37</v>
      </c>
    </row>
    <row r="21" spans="1:31" ht="12.75" hidden="1">
      <c r="A21" s="14" t="s">
        <v>119</v>
      </c>
      <c r="B21" s="62">
        <v>15729000</v>
      </c>
      <c r="C21" s="7" t="s">
        <v>10</v>
      </c>
      <c r="D21" s="62">
        <v>16096380</v>
      </c>
      <c r="E21" s="5">
        <f t="shared" si="0"/>
        <v>367380</v>
      </c>
      <c r="F21" s="5">
        <v>971058</v>
      </c>
      <c r="G21" s="5">
        <v>2350504</v>
      </c>
      <c r="H21" s="5">
        <f t="shared" si="1"/>
        <v>1379446</v>
      </c>
      <c r="I21" s="5">
        <f t="shared" si="2"/>
        <v>540000</v>
      </c>
      <c r="J21" s="5">
        <f t="shared" si="3"/>
        <v>839446</v>
      </c>
      <c r="K21" s="5">
        <f t="shared" si="4"/>
        <v>419723</v>
      </c>
      <c r="L21" s="5">
        <f t="shared" si="5"/>
        <v>959723</v>
      </c>
      <c r="M21" s="5">
        <f t="shared" si="6"/>
        <v>419723</v>
      </c>
      <c r="N21" s="5">
        <f t="shared" si="20"/>
        <v>510658.2</v>
      </c>
      <c r="O21" s="5">
        <f t="shared" si="21"/>
        <v>583414.97</v>
      </c>
      <c r="P21" s="5">
        <f t="shared" si="7"/>
        <v>89756.14923076922</v>
      </c>
      <c r="Q21" s="5">
        <f t="shared" si="8"/>
        <v>75947.51088757395</v>
      </c>
      <c r="R21" s="5">
        <f t="shared" si="9"/>
        <v>255329.1</v>
      </c>
      <c r="S21" s="5">
        <f t="shared" si="10"/>
        <v>42554.85</v>
      </c>
      <c r="T21" s="5">
        <f t="shared" si="11"/>
        <v>234051.675</v>
      </c>
      <c r="U21" s="5">
        <f t="shared" si="22"/>
        <v>1334014.97</v>
      </c>
      <c r="V21" s="5">
        <f t="shared" si="12"/>
        <v>205233.07230769232</v>
      </c>
      <c r="W21" s="5">
        <f t="shared" si="13"/>
        <v>1128781.8976923078</v>
      </c>
      <c r="X21" s="5">
        <f t="shared" si="14"/>
        <v>6340672.649999999</v>
      </c>
      <c r="Y21" s="5">
        <f t="shared" si="15"/>
        <v>30579727.773846157</v>
      </c>
      <c r="Z21" s="5">
        <f t="shared" si="16"/>
        <v>34873699.574999996</v>
      </c>
      <c r="AA21" s="5">
        <f t="shared" si="17"/>
        <v>168188502.75615388</v>
      </c>
      <c r="AB21" s="5">
        <f t="shared" si="18"/>
        <v>6340672.649999999</v>
      </c>
      <c r="AC21" s="5">
        <f t="shared" si="19"/>
        <v>13373666.235384615</v>
      </c>
      <c r="AD21" s="5">
        <v>45000</v>
      </c>
      <c r="AE21" s="1">
        <v>149</v>
      </c>
    </row>
    <row r="22" spans="1:31" ht="12.75" hidden="1">
      <c r="A22" s="14">
        <v>5</v>
      </c>
      <c r="B22" s="62">
        <v>15285000</v>
      </c>
      <c r="C22" s="7" t="s">
        <v>11</v>
      </c>
      <c r="D22" s="62">
        <v>16773132</v>
      </c>
      <c r="E22" s="5">
        <f t="shared" si="0"/>
        <v>1488132</v>
      </c>
      <c r="F22" s="5">
        <v>971058</v>
      </c>
      <c r="G22" s="5">
        <v>2431234</v>
      </c>
      <c r="H22" s="5">
        <f t="shared" si="1"/>
        <v>1460176</v>
      </c>
      <c r="I22" s="5">
        <f t="shared" si="2"/>
        <v>540000</v>
      </c>
      <c r="J22" s="5">
        <f t="shared" si="3"/>
        <v>920176</v>
      </c>
      <c r="K22" s="5">
        <f t="shared" si="4"/>
        <v>460088</v>
      </c>
      <c r="L22" s="5">
        <f t="shared" si="5"/>
        <v>1000088</v>
      </c>
      <c r="M22" s="5">
        <f t="shared" si="6"/>
        <v>460088</v>
      </c>
      <c r="N22" s="5">
        <f t="shared" si="20"/>
        <v>2068503.48</v>
      </c>
      <c r="O22" s="5">
        <f t="shared" si="21"/>
        <v>639522.3200000001</v>
      </c>
      <c r="P22" s="5">
        <f t="shared" si="7"/>
        <v>98388.04923076925</v>
      </c>
      <c r="Q22" s="5">
        <f t="shared" si="8"/>
        <v>83251.42627218936</v>
      </c>
      <c r="R22" s="5">
        <f t="shared" si="9"/>
        <v>1034251.74</v>
      </c>
      <c r="S22" s="5">
        <f t="shared" si="10"/>
        <v>172375.29</v>
      </c>
      <c r="T22" s="5">
        <f t="shared" si="11"/>
        <v>948064.0950000001</v>
      </c>
      <c r="U22" s="5">
        <f t="shared" si="22"/>
        <v>1390122.32</v>
      </c>
      <c r="V22" s="5">
        <f t="shared" si="12"/>
        <v>213864.9723076923</v>
      </c>
      <c r="W22" s="5">
        <f t="shared" si="13"/>
        <v>1176257.3476923078</v>
      </c>
      <c r="X22" s="5">
        <f t="shared" si="14"/>
        <v>43093822.5</v>
      </c>
      <c r="Y22" s="5">
        <f t="shared" si="15"/>
        <v>53466243.07692308</v>
      </c>
      <c r="Z22" s="5">
        <f t="shared" si="16"/>
        <v>237016023.75000003</v>
      </c>
      <c r="AA22" s="5">
        <f t="shared" si="17"/>
        <v>294064336.9230769</v>
      </c>
      <c r="AB22" s="5">
        <f t="shared" si="18"/>
        <v>43093822.5</v>
      </c>
      <c r="AC22" s="5">
        <f t="shared" si="19"/>
        <v>24597012.30769231</v>
      </c>
      <c r="AD22" s="5">
        <v>45000</v>
      </c>
      <c r="AE22" s="1">
        <v>250</v>
      </c>
    </row>
    <row r="23" spans="1:31" ht="12.75" hidden="1">
      <c r="A23" s="14" t="s">
        <v>119</v>
      </c>
      <c r="B23" s="62">
        <v>15729000</v>
      </c>
      <c r="C23" s="7" t="s">
        <v>11</v>
      </c>
      <c r="D23" s="62">
        <v>16773132</v>
      </c>
      <c r="E23" s="5">
        <f t="shared" si="0"/>
        <v>1044132</v>
      </c>
      <c r="F23" s="5">
        <v>971058</v>
      </c>
      <c r="G23" s="5">
        <v>2431234</v>
      </c>
      <c r="H23" s="5">
        <f t="shared" si="1"/>
        <v>1460176</v>
      </c>
      <c r="I23" s="5">
        <f t="shared" si="2"/>
        <v>540000</v>
      </c>
      <c r="J23" s="5">
        <f t="shared" si="3"/>
        <v>920176</v>
      </c>
      <c r="K23" s="5">
        <f t="shared" si="4"/>
        <v>460088</v>
      </c>
      <c r="L23" s="5">
        <f t="shared" si="5"/>
        <v>1000088</v>
      </c>
      <c r="M23" s="5">
        <f t="shared" si="6"/>
        <v>460088</v>
      </c>
      <c r="N23" s="5">
        <f t="shared" si="20"/>
        <v>1451343.48</v>
      </c>
      <c r="O23" s="5">
        <f t="shared" si="21"/>
        <v>639522.3200000001</v>
      </c>
      <c r="P23" s="5">
        <f t="shared" si="7"/>
        <v>98388.04923076925</v>
      </c>
      <c r="Q23" s="5">
        <f t="shared" si="8"/>
        <v>83251.42627218936</v>
      </c>
      <c r="R23" s="5">
        <f t="shared" si="9"/>
        <v>725671.74</v>
      </c>
      <c r="S23" s="5">
        <f t="shared" si="10"/>
        <v>120945.29</v>
      </c>
      <c r="T23" s="5">
        <f t="shared" si="11"/>
        <v>665199.095</v>
      </c>
      <c r="U23" s="5">
        <f t="shared" si="22"/>
        <v>1390122.32</v>
      </c>
      <c r="V23" s="5">
        <f t="shared" si="12"/>
        <v>213864.9723076923</v>
      </c>
      <c r="W23" s="5">
        <f t="shared" si="13"/>
        <v>1176257.3476923078</v>
      </c>
      <c r="X23" s="5">
        <f t="shared" si="14"/>
        <v>7256717.399999999</v>
      </c>
      <c r="Y23" s="5">
        <f t="shared" si="15"/>
        <v>12831898.338461539</v>
      </c>
      <c r="Z23" s="5">
        <f t="shared" si="16"/>
        <v>39911945.699999996</v>
      </c>
      <c r="AA23" s="5">
        <f t="shared" si="17"/>
        <v>70575440.86153847</v>
      </c>
      <c r="AB23" s="5">
        <f t="shared" si="18"/>
        <v>7256717.399999999</v>
      </c>
      <c r="AC23" s="5">
        <f t="shared" si="19"/>
        <v>5903282.953846155</v>
      </c>
      <c r="AD23" s="5">
        <v>45000</v>
      </c>
      <c r="AE23" s="1">
        <v>60</v>
      </c>
    </row>
    <row r="24" spans="1:31" ht="12.75" hidden="1">
      <c r="A24" s="14">
        <v>6</v>
      </c>
      <c r="B24" s="62">
        <v>16695000</v>
      </c>
      <c r="C24" s="7" t="s">
        <v>12</v>
      </c>
      <c r="D24" s="62">
        <v>19979880</v>
      </c>
      <c r="E24" s="5">
        <f t="shared" si="0"/>
        <v>3284880</v>
      </c>
      <c r="F24" s="5">
        <v>1072093</v>
      </c>
      <c r="G24" s="5">
        <v>2732834</v>
      </c>
      <c r="H24" s="5">
        <f t="shared" si="1"/>
        <v>1660741</v>
      </c>
      <c r="I24" s="5">
        <f t="shared" si="2"/>
        <v>780000</v>
      </c>
      <c r="J24" s="5">
        <f t="shared" si="3"/>
        <v>880741</v>
      </c>
      <c r="K24" s="5">
        <f t="shared" si="4"/>
        <v>440370.5</v>
      </c>
      <c r="L24" s="5">
        <f t="shared" si="5"/>
        <v>1220370.5</v>
      </c>
      <c r="M24" s="5">
        <f t="shared" si="6"/>
        <v>440370.5</v>
      </c>
      <c r="N24" s="5">
        <f t="shared" si="20"/>
        <v>4565983.2</v>
      </c>
      <c r="O24" s="5">
        <f t="shared" si="21"/>
        <v>612114.995</v>
      </c>
      <c r="P24" s="5">
        <f t="shared" si="7"/>
        <v>94171.5376923077</v>
      </c>
      <c r="Q24" s="5">
        <f t="shared" si="8"/>
        <v>79683.60881656806</v>
      </c>
      <c r="R24" s="5">
        <f t="shared" si="9"/>
        <v>2282991.6</v>
      </c>
      <c r="S24" s="5">
        <f t="shared" si="10"/>
        <v>380498.60000000003</v>
      </c>
      <c r="T24" s="5">
        <f t="shared" si="11"/>
        <v>2092742.3000000003</v>
      </c>
      <c r="U24" s="5">
        <f t="shared" si="22"/>
        <v>1696314.995</v>
      </c>
      <c r="V24" s="5">
        <f t="shared" si="12"/>
        <v>260971.5376923077</v>
      </c>
      <c r="W24" s="5">
        <f t="shared" si="13"/>
        <v>1435343.4573076924</v>
      </c>
      <c r="X24" s="5">
        <f t="shared" si="14"/>
        <v>68489748</v>
      </c>
      <c r="Y24" s="5">
        <f t="shared" si="15"/>
        <v>46974876.78461538</v>
      </c>
      <c r="Z24" s="5">
        <f t="shared" si="16"/>
        <v>376693614.00000006</v>
      </c>
      <c r="AA24" s="5">
        <f t="shared" si="17"/>
        <v>258361822.31538463</v>
      </c>
      <c r="AB24" s="5">
        <f t="shared" si="18"/>
        <v>68489748</v>
      </c>
      <c r="AC24" s="5">
        <f t="shared" si="19"/>
        <v>16950876.784615386</v>
      </c>
      <c r="AD24" s="5">
        <v>65000</v>
      </c>
      <c r="AE24" s="1">
        <v>180</v>
      </c>
    </row>
    <row r="25" spans="1:31" ht="12.75" hidden="1">
      <c r="A25" s="14" t="s">
        <v>120</v>
      </c>
      <c r="B25" s="62">
        <v>17495000</v>
      </c>
      <c r="C25" s="7" t="s">
        <v>12</v>
      </c>
      <c r="D25" s="62">
        <v>19979880</v>
      </c>
      <c r="E25" s="5">
        <f t="shared" si="0"/>
        <v>2484880</v>
      </c>
      <c r="F25" s="5">
        <v>1072093</v>
      </c>
      <c r="G25" s="5">
        <v>2732834</v>
      </c>
      <c r="H25" s="5">
        <f t="shared" si="1"/>
        <v>1660741</v>
      </c>
      <c r="I25" s="5">
        <f t="shared" si="2"/>
        <v>780000</v>
      </c>
      <c r="J25" s="5">
        <f t="shared" si="3"/>
        <v>880741</v>
      </c>
      <c r="K25" s="5">
        <f t="shared" si="4"/>
        <v>440370.5</v>
      </c>
      <c r="L25" s="5">
        <f t="shared" si="5"/>
        <v>1220370.5</v>
      </c>
      <c r="M25" s="5">
        <f t="shared" si="6"/>
        <v>440370.5</v>
      </c>
      <c r="N25" s="5">
        <f t="shared" si="20"/>
        <v>3453983.2</v>
      </c>
      <c r="O25" s="5">
        <f t="shared" si="21"/>
        <v>612114.995</v>
      </c>
      <c r="P25" s="5">
        <f t="shared" si="7"/>
        <v>94171.5376923077</v>
      </c>
      <c r="Q25" s="5">
        <f t="shared" si="8"/>
        <v>79683.60881656806</v>
      </c>
      <c r="R25" s="5">
        <f t="shared" si="9"/>
        <v>1726991.6</v>
      </c>
      <c r="S25" s="5">
        <f t="shared" si="10"/>
        <v>287831.93333333335</v>
      </c>
      <c r="T25" s="5">
        <f t="shared" si="11"/>
        <v>1583075.6333333333</v>
      </c>
      <c r="U25" s="5">
        <f t="shared" si="22"/>
        <v>1696314.995</v>
      </c>
      <c r="V25" s="5">
        <f t="shared" si="12"/>
        <v>260971.5376923077</v>
      </c>
      <c r="W25" s="5">
        <f t="shared" si="13"/>
        <v>1435343.4573076924</v>
      </c>
      <c r="X25" s="5">
        <f t="shared" si="14"/>
        <v>77426790.06666668</v>
      </c>
      <c r="Y25" s="5">
        <f t="shared" si="15"/>
        <v>70201343.63923077</v>
      </c>
      <c r="Z25" s="5">
        <f t="shared" si="16"/>
        <v>425847345.3666667</v>
      </c>
      <c r="AA25" s="5">
        <f t="shared" si="17"/>
        <v>386107390.01576924</v>
      </c>
      <c r="AB25" s="5">
        <f t="shared" si="18"/>
        <v>77426790.06666668</v>
      </c>
      <c r="AC25" s="5">
        <f t="shared" si="19"/>
        <v>25332143.63923077</v>
      </c>
      <c r="AD25" s="5">
        <v>65000</v>
      </c>
      <c r="AE25" s="1">
        <v>269</v>
      </c>
    </row>
    <row r="26" spans="1:31" ht="12.75" hidden="1">
      <c r="A26" s="14">
        <v>7</v>
      </c>
      <c r="B26" s="62">
        <v>19259000</v>
      </c>
      <c r="C26" s="7" t="s">
        <v>121</v>
      </c>
      <c r="D26" s="62">
        <v>23001396</v>
      </c>
      <c r="E26" s="5">
        <f t="shared" si="0"/>
        <v>3742396</v>
      </c>
      <c r="F26" s="5">
        <v>1324681</v>
      </c>
      <c r="G26" s="5">
        <v>3077724</v>
      </c>
      <c r="H26" s="5">
        <f t="shared" si="1"/>
        <v>1753043</v>
      </c>
      <c r="I26" s="5">
        <f t="shared" si="2"/>
        <v>780000</v>
      </c>
      <c r="J26" s="5">
        <f t="shared" si="3"/>
        <v>973043</v>
      </c>
      <c r="K26" s="5">
        <f t="shared" si="4"/>
        <v>486521.5</v>
      </c>
      <c r="L26" s="5">
        <f t="shared" si="5"/>
        <v>1266521.5</v>
      </c>
      <c r="M26" s="5">
        <f t="shared" si="6"/>
        <v>486521.5</v>
      </c>
      <c r="N26" s="5">
        <f t="shared" si="20"/>
        <v>5201930.4399999995</v>
      </c>
      <c r="O26" s="5">
        <f t="shared" si="21"/>
        <v>676264.885</v>
      </c>
      <c r="P26" s="5">
        <f t="shared" si="7"/>
        <v>104040.75153846154</v>
      </c>
      <c r="Q26" s="5">
        <f t="shared" si="8"/>
        <v>88034.48207100593</v>
      </c>
      <c r="R26" s="5">
        <f t="shared" si="9"/>
        <v>2600965.2199999997</v>
      </c>
      <c r="S26" s="5">
        <f t="shared" si="10"/>
        <v>433494.2033333333</v>
      </c>
      <c r="T26" s="5">
        <f t="shared" si="11"/>
        <v>2384218.118333333</v>
      </c>
      <c r="U26" s="5">
        <f t="shared" si="22"/>
        <v>1760464.885</v>
      </c>
      <c r="V26" s="5">
        <f t="shared" si="12"/>
        <v>270840.75153846154</v>
      </c>
      <c r="W26" s="5">
        <f t="shared" si="13"/>
        <v>1489624.1334615385</v>
      </c>
      <c r="X26" s="5">
        <f t="shared" si="14"/>
        <v>66758107.31333333</v>
      </c>
      <c r="Y26" s="5">
        <f t="shared" si="15"/>
        <v>41709475.736923076</v>
      </c>
      <c r="Z26" s="5">
        <f t="shared" si="16"/>
        <v>367169590.2233333</v>
      </c>
      <c r="AA26" s="5">
        <f t="shared" si="17"/>
        <v>229402116.55307692</v>
      </c>
      <c r="AB26" s="5">
        <f t="shared" si="18"/>
        <v>66758107.31333333</v>
      </c>
      <c r="AC26" s="5">
        <f t="shared" si="19"/>
        <v>16022275.736923076</v>
      </c>
      <c r="AD26" s="5">
        <v>65000</v>
      </c>
      <c r="AE26" s="1">
        <v>154</v>
      </c>
    </row>
    <row r="27" spans="1:31" ht="12.75" hidden="1">
      <c r="A27" s="14" t="s">
        <v>122</v>
      </c>
      <c r="B27" s="62">
        <v>21159000</v>
      </c>
      <c r="C27" s="7" t="s">
        <v>121</v>
      </c>
      <c r="D27" s="62">
        <v>23001396</v>
      </c>
      <c r="E27" s="5">
        <f t="shared" si="0"/>
        <v>1842396</v>
      </c>
      <c r="F27" s="5">
        <v>1324681</v>
      </c>
      <c r="G27" s="5">
        <v>3077724</v>
      </c>
      <c r="H27" s="5">
        <f t="shared" si="1"/>
        <v>1753043</v>
      </c>
      <c r="I27" s="5">
        <f t="shared" si="2"/>
        <v>780000</v>
      </c>
      <c r="J27" s="5">
        <f t="shared" si="3"/>
        <v>973043</v>
      </c>
      <c r="K27" s="5">
        <f t="shared" si="4"/>
        <v>486521.5</v>
      </c>
      <c r="L27" s="5">
        <f t="shared" si="5"/>
        <v>1266521.5</v>
      </c>
      <c r="M27" s="5">
        <f t="shared" si="6"/>
        <v>486521.5</v>
      </c>
      <c r="N27" s="5">
        <f t="shared" si="20"/>
        <v>2560930.44</v>
      </c>
      <c r="O27" s="5">
        <f t="shared" si="21"/>
        <v>676264.885</v>
      </c>
      <c r="P27" s="5">
        <f t="shared" si="7"/>
        <v>104040.75153846154</v>
      </c>
      <c r="Q27" s="5">
        <f t="shared" si="8"/>
        <v>88034.48207100593</v>
      </c>
      <c r="R27" s="5">
        <f t="shared" si="9"/>
        <v>1280465.22</v>
      </c>
      <c r="S27" s="5">
        <f t="shared" si="10"/>
        <v>213410.87</v>
      </c>
      <c r="T27" s="5">
        <f t="shared" si="11"/>
        <v>1173759.785</v>
      </c>
      <c r="U27" s="5">
        <f t="shared" si="22"/>
        <v>1760464.885</v>
      </c>
      <c r="V27" s="5">
        <f t="shared" si="12"/>
        <v>270840.75153846154</v>
      </c>
      <c r="W27" s="5">
        <f t="shared" si="13"/>
        <v>1489624.1334615385</v>
      </c>
      <c r="X27" s="5">
        <f t="shared" si="14"/>
        <v>8323023.93</v>
      </c>
      <c r="Y27" s="5">
        <f t="shared" si="15"/>
        <v>10562789.31</v>
      </c>
      <c r="Z27" s="5">
        <f t="shared" si="16"/>
        <v>45776631.614999995</v>
      </c>
      <c r="AA27" s="5">
        <f t="shared" si="17"/>
        <v>58095341.205</v>
      </c>
      <c r="AB27" s="5">
        <f t="shared" si="18"/>
        <v>8323023.93</v>
      </c>
      <c r="AC27" s="5">
        <f t="shared" si="19"/>
        <v>4057589.31</v>
      </c>
      <c r="AD27" s="5">
        <v>65000</v>
      </c>
      <c r="AE27" s="1">
        <v>39</v>
      </c>
    </row>
    <row r="28" spans="1:31" ht="12.75" hidden="1">
      <c r="A28" s="14">
        <v>8</v>
      </c>
      <c r="B28" s="62">
        <v>24455000</v>
      </c>
      <c r="C28" s="7" t="s">
        <v>13</v>
      </c>
      <c r="D28" s="62">
        <v>24455000</v>
      </c>
      <c r="E28" s="5">
        <f t="shared" si="0"/>
        <v>0</v>
      </c>
      <c r="F28" s="5">
        <v>1677077</v>
      </c>
      <c r="G28" s="5">
        <v>3077724</v>
      </c>
      <c r="H28" s="5">
        <f t="shared" si="1"/>
        <v>1400647</v>
      </c>
      <c r="I28" s="5">
        <f t="shared" si="2"/>
        <v>0</v>
      </c>
      <c r="J28" s="5">
        <f t="shared" si="3"/>
        <v>1400647</v>
      </c>
      <c r="K28" s="5">
        <f t="shared" si="4"/>
        <v>700323.5</v>
      </c>
      <c r="L28" s="5">
        <f t="shared" si="5"/>
        <v>700323.5</v>
      </c>
      <c r="M28" s="5">
        <f t="shared" si="6"/>
        <v>700323.5</v>
      </c>
      <c r="N28" s="5">
        <f t="shared" si="20"/>
        <v>0</v>
      </c>
      <c r="O28" s="5">
        <f t="shared" si="21"/>
        <v>973449.665</v>
      </c>
      <c r="P28" s="5">
        <f t="shared" si="7"/>
        <v>149761.48692307694</v>
      </c>
      <c r="Q28" s="5">
        <f t="shared" si="8"/>
        <v>126721.2581656805</v>
      </c>
      <c r="R28" s="5">
        <f t="shared" si="9"/>
        <v>0</v>
      </c>
      <c r="S28" s="5">
        <f t="shared" si="10"/>
        <v>0</v>
      </c>
      <c r="T28" s="5">
        <f t="shared" si="11"/>
        <v>0</v>
      </c>
      <c r="U28" s="5">
        <f t="shared" si="22"/>
        <v>973449.665</v>
      </c>
      <c r="V28" s="5">
        <f t="shared" si="12"/>
        <v>149761.48692307694</v>
      </c>
      <c r="W28" s="5">
        <f t="shared" si="13"/>
        <v>823688.1780769231</v>
      </c>
      <c r="X28" s="5">
        <f t="shared" si="14"/>
        <v>0</v>
      </c>
      <c r="Y28" s="5">
        <f t="shared" si="15"/>
        <v>6289982.450769232</v>
      </c>
      <c r="Z28" s="5">
        <f t="shared" si="16"/>
        <v>0</v>
      </c>
      <c r="AA28" s="5">
        <f t="shared" si="17"/>
        <v>34594903.47923077</v>
      </c>
      <c r="AB28" s="5">
        <f t="shared" si="18"/>
        <v>0</v>
      </c>
      <c r="AC28" s="5">
        <f t="shared" si="19"/>
        <v>6289982.450769232</v>
      </c>
      <c r="AD28" s="5">
        <v>0</v>
      </c>
      <c r="AE28" s="1">
        <v>42</v>
      </c>
    </row>
    <row r="29" spans="3:29" ht="12.75" hidden="1">
      <c r="C29" s="10"/>
      <c r="X29" s="1">
        <f aca="true" t="shared" si="23" ref="X29:AC29">SUM(X10:X28)</f>
        <v>421188818.28333336</v>
      </c>
      <c r="Y29" s="1">
        <f t="shared" si="23"/>
        <v>480372468.8807693</v>
      </c>
      <c r="Z29" s="1">
        <f t="shared" si="23"/>
        <v>2316538500.5583334</v>
      </c>
      <c r="AA29" s="1">
        <f t="shared" si="23"/>
        <v>2642048578.8442307</v>
      </c>
      <c r="AB29" s="1">
        <f t="shared" si="23"/>
        <v>421188818.28333336</v>
      </c>
      <c r="AC29" s="1">
        <f t="shared" si="23"/>
        <v>204113176.57307696</v>
      </c>
    </row>
    <row r="30" spans="3:31" ht="12.75" hidden="1">
      <c r="C30" s="10"/>
      <c r="X30" s="1" t="s">
        <v>94</v>
      </c>
      <c r="Y30" s="63">
        <f>SUM(X29:Y29)</f>
        <v>901561287.1641027</v>
      </c>
      <c r="AB30" s="1">
        <f>X29</f>
        <v>421188818.28333336</v>
      </c>
      <c r="AC30" s="1">
        <f>Y29</f>
        <v>480372468.8807693</v>
      </c>
      <c r="AE30" s="1">
        <f>SUM(AE10:AE29)</f>
        <v>2149</v>
      </c>
    </row>
    <row r="31" spans="3:29" ht="12.75" hidden="1">
      <c r="C31" s="10"/>
      <c r="G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 t="s">
        <v>92</v>
      </c>
      <c r="AC31" s="64">
        <f>SUM(Z29+AA29+AB29+AC29+AB30+AC30)</f>
        <v>6485450361.423079</v>
      </c>
    </row>
    <row r="32" spans="1:33" ht="143.25" customHeight="1">
      <c r="A32" s="2" t="s">
        <v>1</v>
      </c>
      <c r="B32" s="15" t="s">
        <v>104</v>
      </c>
      <c r="C32" s="15" t="s">
        <v>105</v>
      </c>
      <c r="D32" s="15" t="s">
        <v>4</v>
      </c>
      <c r="E32" s="15" t="s">
        <v>106</v>
      </c>
      <c r="F32" s="15" t="s">
        <v>107</v>
      </c>
      <c r="G32" s="15" t="s">
        <v>6</v>
      </c>
      <c r="H32" s="15" t="s">
        <v>15</v>
      </c>
      <c r="I32" s="15" t="s">
        <v>108</v>
      </c>
      <c r="J32" s="15" t="s">
        <v>109</v>
      </c>
      <c r="K32" s="15" t="s">
        <v>110</v>
      </c>
      <c r="L32" s="15" t="s">
        <v>111</v>
      </c>
      <c r="M32" s="4" t="s">
        <v>112</v>
      </c>
      <c r="N32" s="15" t="s">
        <v>236</v>
      </c>
      <c r="O32" s="61" t="s">
        <v>237</v>
      </c>
      <c r="P32" s="61" t="s">
        <v>95</v>
      </c>
      <c r="Q32" s="61" t="s">
        <v>140</v>
      </c>
      <c r="R32" s="4" t="s">
        <v>113</v>
      </c>
      <c r="S32" s="4" t="s">
        <v>90</v>
      </c>
      <c r="T32" s="4" t="s">
        <v>139</v>
      </c>
      <c r="U32" s="15" t="s">
        <v>229</v>
      </c>
      <c r="V32" s="15" t="s">
        <v>95</v>
      </c>
      <c r="W32" s="4" t="s">
        <v>96</v>
      </c>
      <c r="X32" s="15" t="s">
        <v>238</v>
      </c>
      <c r="Y32" s="15" t="s">
        <v>239</v>
      </c>
      <c r="Z32" s="15" t="s">
        <v>240</v>
      </c>
      <c r="AA32" s="15" t="s">
        <v>196</v>
      </c>
      <c r="AB32" s="15" t="s">
        <v>197</v>
      </c>
      <c r="AC32" s="15" t="s">
        <v>241</v>
      </c>
      <c r="AD32" s="15" t="s">
        <v>242</v>
      </c>
      <c r="AE32" s="15" t="s">
        <v>243</v>
      </c>
      <c r="AF32" s="15" t="s">
        <v>244</v>
      </c>
      <c r="AG32" s="15" t="s">
        <v>114</v>
      </c>
    </row>
    <row r="33" spans="1:34" ht="12.75">
      <c r="A33" s="14">
        <v>1</v>
      </c>
      <c r="B33" s="62">
        <v>10178000</v>
      </c>
      <c r="C33" s="7" t="s">
        <v>126</v>
      </c>
      <c r="D33" s="62">
        <v>12966576</v>
      </c>
      <c r="E33" s="5">
        <f aca="true" t="shared" si="24" ref="E33:E51">D33-B33</f>
        <v>2788576</v>
      </c>
      <c r="F33" s="5">
        <v>590000</v>
      </c>
      <c r="G33" s="5">
        <v>2001441</v>
      </c>
      <c r="H33" s="5">
        <f aca="true" t="shared" si="25" ref="H33:H51">G33-F33</f>
        <v>1411441</v>
      </c>
      <c r="I33" s="5">
        <f aca="true" t="shared" si="26" ref="I33:I51">AG33*12</f>
        <v>540000</v>
      </c>
      <c r="J33" s="5">
        <f aca="true" t="shared" si="27" ref="J33:J51">H33-I33</f>
        <v>871441</v>
      </c>
      <c r="K33" s="5">
        <f aca="true" t="shared" si="28" ref="K33:K51">J33*50%</f>
        <v>435720.5</v>
      </c>
      <c r="L33" s="5">
        <f aca="true" t="shared" si="29" ref="L33:L51">I33+K33</f>
        <v>975720.5</v>
      </c>
      <c r="M33" s="5">
        <f aca="true" t="shared" si="30" ref="M33:M51">J33*50%</f>
        <v>435720.5</v>
      </c>
      <c r="N33" s="5">
        <f>E33+(E33*40%)</f>
        <v>3904006.4000000004</v>
      </c>
      <c r="O33" s="5">
        <f>(M33*40%)+M33</f>
        <v>610008.7</v>
      </c>
      <c r="P33" s="67">
        <f>O33/13*2</f>
        <v>93847.4923076923</v>
      </c>
      <c r="Q33" s="67">
        <f>(P33/13)*11</f>
        <v>79409.41656804734</v>
      </c>
      <c r="R33" s="5">
        <f aca="true" t="shared" si="31" ref="R33:R51">N33/2</f>
        <v>1952003.2000000002</v>
      </c>
      <c r="S33" s="67">
        <f>(R33/12)*2</f>
        <v>325333.8666666667</v>
      </c>
      <c r="T33" s="67">
        <f>(R33/12)*11</f>
        <v>1789336.2666666668</v>
      </c>
      <c r="U33" s="5">
        <f>(L33+(L33*40%))</f>
        <v>1366008.7</v>
      </c>
      <c r="V33" s="67">
        <f>(U33/13)*2</f>
        <v>210155.1846153846</v>
      </c>
      <c r="W33" s="67">
        <f>(U33/13)*11</f>
        <v>1155853.5153846154</v>
      </c>
      <c r="X33" s="5">
        <f>S33*AH33</f>
        <v>1626669.3333333335</v>
      </c>
      <c r="Y33" s="5">
        <f>V33*AH33</f>
        <v>1050775.923076923</v>
      </c>
      <c r="Z33" s="5">
        <f>G57*AH33</f>
        <v>221816.00000000003</v>
      </c>
      <c r="AA33" s="5">
        <f>T33*AH33</f>
        <v>8946681.333333334</v>
      </c>
      <c r="AB33" s="5">
        <f>W33*AH33</f>
        <v>5779267.576923077</v>
      </c>
      <c r="AC33" s="5">
        <f>H57*AH33</f>
        <v>1219988.0000000002</v>
      </c>
      <c r="AD33" s="5">
        <f>S33*AH33</f>
        <v>1626669.3333333335</v>
      </c>
      <c r="AE33" s="5">
        <f>P33*AH33</f>
        <v>469237.4615384615</v>
      </c>
      <c r="AF33" s="5">
        <f>G57*AH33</f>
        <v>221816.00000000003</v>
      </c>
      <c r="AG33" s="5">
        <v>45000</v>
      </c>
      <c r="AH33" s="1">
        <v>5</v>
      </c>
    </row>
    <row r="34" spans="1:34" ht="12.75">
      <c r="A34" s="14" t="s">
        <v>115</v>
      </c>
      <c r="B34" s="62">
        <v>10562000</v>
      </c>
      <c r="C34" s="7" t="s">
        <v>126</v>
      </c>
      <c r="D34" s="62">
        <v>12966576</v>
      </c>
      <c r="E34" s="5">
        <f t="shared" si="24"/>
        <v>2404576</v>
      </c>
      <c r="F34" s="5">
        <v>590000</v>
      </c>
      <c r="G34" s="5">
        <v>2001441</v>
      </c>
      <c r="H34" s="5">
        <f t="shared" si="25"/>
        <v>1411441</v>
      </c>
      <c r="I34" s="5">
        <f t="shared" si="26"/>
        <v>540000</v>
      </c>
      <c r="J34" s="5">
        <f t="shared" si="27"/>
        <v>871441</v>
      </c>
      <c r="K34" s="5">
        <f t="shared" si="28"/>
        <v>435720.5</v>
      </c>
      <c r="L34" s="5">
        <f t="shared" si="29"/>
        <v>975720.5</v>
      </c>
      <c r="M34" s="5">
        <f t="shared" si="30"/>
        <v>435720.5</v>
      </c>
      <c r="N34" s="5">
        <f aca="true" t="shared" si="32" ref="N34:N51">E34+(E34*40%)</f>
        <v>3366406.4</v>
      </c>
      <c r="O34" s="5">
        <f aca="true" t="shared" si="33" ref="O34:O51">(M34*40%)+M34</f>
        <v>610008.7</v>
      </c>
      <c r="P34" s="67">
        <f aca="true" t="shared" si="34" ref="P34:P51">O34/13*2</f>
        <v>93847.4923076923</v>
      </c>
      <c r="Q34" s="67">
        <f aca="true" t="shared" si="35" ref="Q34:Q51">(P34/13)*11</f>
        <v>79409.41656804734</v>
      </c>
      <c r="R34" s="5">
        <f t="shared" si="31"/>
        <v>1683203.2</v>
      </c>
      <c r="S34" s="67">
        <f aca="true" t="shared" si="36" ref="S34:S51">(R34/12)*2</f>
        <v>280533.86666666664</v>
      </c>
      <c r="T34" s="67">
        <f aca="true" t="shared" si="37" ref="T34:T51">(R34/12)*11</f>
        <v>1542936.2666666666</v>
      </c>
      <c r="U34" s="5">
        <f aca="true" t="shared" si="38" ref="U34:U51">(L34+(L34*40%))</f>
        <v>1366008.7</v>
      </c>
      <c r="V34" s="67">
        <f aca="true" t="shared" si="39" ref="V34:V51">(U34/13)*2</f>
        <v>210155.1846153846</v>
      </c>
      <c r="W34" s="67">
        <f aca="true" t="shared" si="40" ref="W34:W51">(U34/13)*11</f>
        <v>1155853.5153846154</v>
      </c>
      <c r="X34" s="5">
        <f aca="true" t="shared" si="41" ref="X34:X51">S34*AH34</f>
        <v>561067.7333333333</v>
      </c>
      <c r="Y34" s="5">
        <f aca="true" t="shared" si="42" ref="Y34:Y51">V34*AH34</f>
        <v>420310.3692307692</v>
      </c>
      <c r="Z34" s="5">
        <f aca="true" t="shared" si="43" ref="Z34:Z51">G58*AH34</f>
        <v>83664</v>
      </c>
      <c r="AA34" s="5">
        <f aca="true" t="shared" si="44" ref="AA34:AA51">T34*AH34</f>
        <v>3085872.533333333</v>
      </c>
      <c r="AB34" s="5">
        <f aca="true" t="shared" si="45" ref="AB34:AB51">W34*AH34</f>
        <v>2311707.030769231</v>
      </c>
      <c r="AC34" s="5">
        <f aca="true" t="shared" si="46" ref="AC34:AC51">H58*AH34</f>
        <v>460152</v>
      </c>
      <c r="AD34" s="5">
        <f aca="true" t="shared" si="47" ref="AD34:AD51">S34*AH34</f>
        <v>561067.7333333333</v>
      </c>
      <c r="AE34" s="5">
        <f aca="true" t="shared" si="48" ref="AE34:AE51">P34*AH34</f>
        <v>187694.9846153846</v>
      </c>
      <c r="AF34" s="5">
        <f aca="true" t="shared" si="49" ref="AF34:AF51">G58*AH34</f>
        <v>83664</v>
      </c>
      <c r="AG34" s="5">
        <v>45000</v>
      </c>
      <c r="AH34" s="1">
        <v>2</v>
      </c>
    </row>
    <row r="35" spans="1:34" ht="12.75">
      <c r="A35" s="14">
        <v>2</v>
      </c>
      <c r="B35" s="62">
        <v>11294000</v>
      </c>
      <c r="C35" s="7" t="s">
        <v>126</v>
      </c>
      <c r="D35" s="62">
        <v>12966576</v>
      </c>
      <c r="E35" s="5">
        <f t="shared" si="24"/>
        <v>1672576</v>
      </c>
      <c r="F35" s="5">
        <v>680000</v>
      </c>
      <c r="G35" s="5">
        <v>2001441</v>
      </c>
      <c r="H35" s="5">
        <f t="shared" si="25"/>
        <v>1321441</v>
      </c>
      <c r="I35" s="5">
        <f t="shared" si="26"/>
        <v>540000</v>
      </c>
      <c r="J35" s="5">
        <f t="shared" si="27"/>
        <v>781441</v>
      </c>
      <c r="K35" s="5">
        <f t="shared" si="28"/>
        <v>390720.5</v>
      </c>
      <c r="L35" s="5">
        <f t="shared" si="29"/>
        <v>930720.5</v>
      </c>
      <c r="M35" s="5">
        <f t="shared" si="30"/>
        <v>390720.5</v>
      </c>
      <c r="N35" s="5">
        <f t="shared" si="32"/>
        <v>2341606.4</v>
      </c>
      <c r="O35" s="5">
        <f t="shared" si="33"/>
        <v>547008.7</v>
      </c>
      <c r="P35" s="67">
        <f t="shared" si="34"/>
        <v>84155.18461538461</v>
      </c>
      <c r="Q35" s="67">
        <f t="shared" si="35"/>
        <v>71208.23313609467</v>
      </c>
      <c r="R35" s="5">
        <f t="shared" si="31"/>
        <v>1170803.2</v>
      </c>
      <c r="S35" s="67">
        <f t="shared" si="36"/>
        <v>195133.86666666667</v>
      </c>
      <c r="T35" s="67">
        <f t="shared" si="37"/>
        <v>1073236.2666666666</v>
      </c>
      <c r="U35" s="5">
        <f t="shared" si="38"/>
        <v>1303008.7</v>
      </c>
      <c r="V35" s="67">
        <f t="shared" si="39"/>
        <v>200462.87692307692</v>
      </c>
      <c r="W35" s="67">
        <f t="shared" si="40"/>
        <v>1102545.8230769231</v>
      </c>
      <c r="X35" s="5">
        <f t="shared" si="41"/>
        <v>1365937.0666666667</v>
      </c>
      <c r="Y35" s="5">
        <f t="shared" si="42"/>
        <v>1403240.1384615386</v>
      </c>
      <c r="Z35" s="5">
        <f t="shared" si="43"/>
        <v>195980.4</v>
      </c>
      <c r="AA35" s="5">
        <f t="shared" si="44"/>
        <v>7512653.866666666</v>
      </c>
      <c r="AB35" s="5">
        <f t="shared" si="45"/>
        <v>7717820.761538462</v>
      </c>
      <c r="AC35" s="5">
        <f t="shared" si="46"/>
        <v>1077892.2</v>
      </c>
      <c r="AD35" s="5">
        <f t="shared" si="47"/>
        <v>1365937.0666666667</v>
      </c>
      <c r="AE35" s="5">
        <f t="shared" si="48"/>
        <v>589086.2923076923</v>
      </c>
      <c r="AF35" s="5">
        <f t="shared" si="49"/>
        <v>195980.4</v>
      </c>
      <c r="AG35" s="5">
        <v>45000</v>
      </c>
      <c r="AH35" s="1">
        <v>7</v>
      </c>
    </row>
    <row r="36" spans="1:34" ht="12.75">
      <c r="A36" s="14" t="s">
        <v>116</v>
      </c>
      <c r="B36" s="62">
        <v>11750000</v>
      </c>
      <c r="C36" s="7" t="s">
        <v>126</v>
      </c>
      <c r="D36" s="62">
        <v>12966576</v>
      </c>
      <c r="E36" s="5">
        <f t="shared" si="24"/>
        <v>1216576</v>
      </c>
      <c r="F36" s="5">
        <v>680000</v>
      </c>
      <c r="G36" s="5">
        <v>2001441</v>
      </c>
      <c r="H36" s="5">
        <f t="shared" si="25"/>
        <v>1321441</v>
      </c>
      <c r="I36" s="5">
        <f t="shared" si="26"/>
        <v>540000</v>
      </c>
      <c r="J36" s="5">
        <f t="shared" si="27"/>
        <v>781441</v>
      </c>
      <c r="K36" s="5">
        <f t="shared" si="28"/>
        <v>390720.5</v>
      </c>
      <c r="L36" s="5">
        <f t="shared" si="29"/>
        <v>930720.5</v>
      </c>
      <c r="M36" s="5">
        <f t="shared" si="30"/>
        <v>390720.5</v>
      </c>
      <c r="N36" s="5">
        <f t="shared" si="32"/>
        <v>1703206.4</v>
      </c>
      <c r="O36" s="5">
        <f t="shared" si="33"/>
        <v>547008.7</v>
      </c>
      <c r="P36" s="67">
        <f t="shared" si="34"/>
        <v>84155.18461538461</v>
      </c>
      <c r="Q36" s="67">
        <f t="shared" si="35"/>
        <v>71208.23313609467</v>
      </c>
      <c r="R36" s="5">
        <f t="shared" si="31"/>
        <v>851603.2</v>
      </c>
      <c r="S36" s="67">
        <f t="shared" si="36"/>
        <v>141933.86666666667</v>
      </c>
      <c r="T36" s="67">
        <f t="shared" si="37"/>
        <v>780636.2666666667</v>
      </c>
      <c r="U36" s="5">
        <f t="shared" si="38"/>
        <v>1303008.7</v>
      </c>
      <c r="V36" s="67">
        <f t="shared" si="39"/>
        <v>200462.87692307692</v>
      </c>
      <c r="W36" s="67">
        <f t="shared" si="40"/>
        <v>1102545.8230769231</v>
      </c>
      <c r="X36" s="5">
        <f t="shared" si="41"/>
        <v>283867.73333333334</v>
      </c>
      <c r="Y36" s="5">
        <f t="shared" si="42"/>
        <v>400925.75384615385</v>
      </c>
      <c r="Z36" s="5">
        <f t="shared" si="43"/>
        <v>49980</v>
      </c>
      <c r="AA36" s="5">
        <f t="shared" si="44"/>
        <v>1561272.5333333334</v>
      </c>
      <c r="AB36" s="5">
        <f t="shared" si="45"/>
        <v>2205091.6461538463</v>
      </c>
      <c r="AC36" s="5">
        <f t="shared" si="46"/>
        <v>274890</v>
      </c>
      <c r="AD36" s="5">
        <f t="shared" si="47"/>
        <v>283867.73333333334</v>
      </c>
      <c r="AE36" s="5">
        <f t="shared" si="48"/>
        <v>168310.36923076923</v>
      </c>
      <c r="AF36" s="5">
        <f t="shared" si="49"/>
        <v>49980</v>
      </c>
      <c r="AG36" s="5">
        <v>45000</v>
      </c>
      <c r="AH36" s="1">
        <v>2</v>
      </c>
    </row>
    <row r="37" spans="1:34" ht="12.75">
      <c r="A37" s="14">
        <v>3</v>
      </c>
      <c r="B37" s="62">
        <v>12489000</v>
      </c>
      <c r="C37" s="7" t="s">
        <v>126</v>
      </c>
      <c r="D37" s="62">
        <v>12966576</v>
      </c>
      <c r="E37" s="5">
        <f t="shared" si="24"/>
        <v>477576</v>
      </c>
      <c r="F37" s="5">
        <v>757762</v>
      </c>
      <c r="G37" s="5">
        <v>2001441</v>
      </c>
      <c r="H37" s="5">
        <f t="shared" si="25"/>
        <v>1243679</v>
      </c>
      <c r="I37" s="5">
        <f t="shared" si="26"/>
        <v>540000</v>
      </c>
      <c r="J37" s="5">
        <f t="shared" si="27"/>
        <v>703679</v>
      </c>
      <c r="K37" s="5">
        <f t="shared" si="28"/>
        <v>351839.5</v>
      </c>
      <c r="L37" s="5">
        <f t="shared" si="29"/>
        <v>891839.5</v>
      </c>
      <c r="M37" s="5">
        <f t="shared" si="30"/>
        <v>351839.5</v>
      </c>
      <c r="N37" s="5">
        <f t="shared" si="32"/>
        <v>668606.4</v>
      </c>
      <c r="O37" s="5">
        <f t="shared" si="33"/>
        <v>492575.30000000005</v>
      </c>
      <c r="P37" s="67">
        <f t="shared" si="34"/>
        <v>75780.81538461539</v>
      </c>
      <c r="Q37" s="67">
        <f t="shared" si="35"/>
        <v>64122.22840236687</v>
      </c>
      <c r="R37" s="5">
        <f t="shared" si="31"/>
        <v>334303.2</v>
      </c>
      <c r="S37" s="67">
        <f t="shared" si="36"/>
        <v>55717.200000000004</v>
      </c>
      <c r="T37" s="67">
        <f t="shared" si="37"/>
        <v>306444.60000000003</v>
      </c>
      <c r="U37" s="5">
        <f t="shared" si="38"/>
        <v>1248575.3</v>
      </c>
      <c r="V37" s="67">
        <f t="shared" si="39"/>
        <v>192088.5076923077</v>
      </c>
      <c r="W37" s="67">
        <f t="shared" si="40"/>
        <v>1056486.7923076923</v>
      </c>
      <c r="X37" s="5">
        <f t="shared" si="41"/>
        <v>4735962</v>
      </c>
      <c r="Y37" s="5">
        <f t="shared" si="42"/>
        <v>16327523.153846154</v>
      </c>
      <c r="Z37" s="5">
        <f t="shared" si="43"/>
        <v>946764</v>
      </c>
      <c r="AA37" s="5">
        <f t="shared" si="44"/>
        <v>26047791.000000004</v>
      </c>
      <c r="AB37" s="5">
        <f t="shared" si="45"/>
        <v>89801377.34615386</v>
      </c>
      <c r="AC37" s="5">
        <f t="shared" si="46"/>
        <v>5207202</v>
      </c>
      <c r="AD37" s="5">
        <f t="shared" si="47"/>
        <v>4735962</v>
      </c>
      <c r="AE37" s="5">
        <f t="shared" si="48"/>
        <v>6441369.307692308</v>
      </c>
      <c r="AF37" s="5">
        <f t="shared" si="49"/>
        <v>946764</v>
      </c>
      <c r="AG37" s="5">
        <v>45000</v>
      </c>
      <c r="AH37" s="1">
        <v>85</v>
      </c>
    </row>
    <row r="38" spans="1:34" ht="12.75">
      <c r="A38" s="14" t="s">
        <v>117</v>
      </c>
      <c r="B38" s="62">
        <v>12889000</v>
      </c>
      <c r="C38" s="7" t="s">
        <v>126</v>
      </c>
      <c r="D38" s="62">
        <v>12966576</v>
      </c>
      <c r="E38" s="5">
        <f t="shared" si="24"/>
        <v>77576</v>
      </c>
      <c r="F38" s="5">
        <v>757762</v>
      </c>
      <c r="G38" s="5">
        <v>2001441</v>
      </c>
      <c r="H38" s="5">
        <f t="shared" si="25"/>
        <v>1243679</v>
      </c>
      <c r="I38" s="5">
        <f t="shared" si="26"/>
        <v>540000</v>
      </c>
      <c r="J38" s="5">
        <f t="shared" si="27"/>
        <v>703679</v>
      </c>
      <c r="K38" s="5">
        <f t="shared" si="28"/>
        <v>351839.5</v>
      </c>
      <c r="L38" s="5">
        <f t="shared" si="29"/>
        <v>891839.5</v>
      </c>
      <c r="M38" s="5">
        <f t="shared" si="30"/>
        <v>351839.5</v>
      </c>
      <c r="N38" s="5">
        <f t="shared" si="32"/>
        <v>108606.4</v>
      </c>
      <c r="O38" s="5">
        <f t="shared" si="33"/>
        <v>492575.30000000005</v>
      </c>
      <c r="P38" s="67">
        <f t="shared" si="34"/>
        <v>75780.81538461539</v>
      </c>
      <c r="Q38" s="67">
        <f t="shared" si="35"/>
        <v>64122.22840236687</v>
      </c>
      <c r="R38" s="5">
        <f t="shared" si="31"/>
        <v>54303.2</v>
      </c>
      <c r="S38" s="67">
        <f t="shared" si="36"/>
        <v>9050.533333333333</v>
      </c>
      <c r="T38" s="67">
        <f t="shared" si="37"/>
        <v>49777.933333333334</v>
      </c>
      <c r="U38" s="5">
        <f t="shared" si="38"/>
        <v>1248575.3</v>
      </c>
      <c r="V38" s="67">
        <f t="shared" si="39"/>
        <v>192088.5076923077</v>
      </c>
      <c r="W38" s="67">
        <f t="shared" si="40"/>
        <v>1056486.7923076923</v>
      </c>
      <c r="X38" s="5">
        <f t="shared" si="41"/>
        <v>488728.8</v>
      </c>
      <c r="Y38" s="5">
        <f t="shared" si="42"/>
        <v>10372779.415384617</v>
      </c>
      <c r="Z38" s="5">
        <f t="shared" si="43"/>
        <v>459043.20000000007</v>
      </c>
      <c r="AA38" s="5">
        <f t="shared" si="44"/>
        <v>2688008.4</v>
      </c>
      <c r="AB38" s="5">
        <f t="shared" si="45"/>
        <v>57050286.78461539</v>
      </c>
      <c r="AC38" s="5">
        <f t="shared" si="46"/>
        <v>2524737.6000000006</v>
      </c>
      <c r="AD38" s="5">
        <f t="shared" si="47"/>
        <v>488728.8</v>
      </c>
      <c r="AE38" s="5">
        <f t="shared" si="48"/>
        <v>4092164.030769231</v>
      </c>
      <c r="AF38" s="5">
        <f t="shared" si="49"/>
        <v>459043.20000000007</v>
      </c>
      <c r="AG38" s="5">
        <v>45000</v>
      </c>
      <c r="AH38" s="1">
        <v>54</v>
      </c>
    </row>
    <row r="39" spans="1:34" ht="12.75">
      <c r="A39" s="14">
        <v>3</v>
      </c>
      <c r="B39" s="62">
        <v>12489000</v>
      </c>
      <c r="C39" s="7" t="s">
        <v>9</v>
      </c>
      <c r="D39" s="62">
        <v>14439948</v>
      </c>
      <c r="E39" s="5">
        <f t="shared" si="24"/>
        <v>1950948</v>
      </c>
      <c r="F39" s="5">
        <v>757762</v>
      </c>
      <c r="G39" s="5">
        <v>2162212</v>
      </c>
      <c r="H39" s="5">
        <f t="shared" si="25"/>
        <v>1404450</v>
      </c>
      <c r="I39" s="5">
        <f t="shared" si="26"/>
        <v>540000</v>
      </c>
      <c r="J39" s="5">
        <f t="shared" si="27"/>
        <v>864450</v>
      </c>
      <c r="K39" s="5">
        <f t="shared" si="28"/>
        <v>432225</v>
      </c>
      <c r="L39" s="5">
        <f t="shared" si="29"/>
        <v>972225</v>
      </c>
      <c r="M39" s="5">
        <f t="shared" si="30"/>
        <v>432225</v>
      </c>
      <c r="N39" s="5">
        <f t="shared" si="32"/>
        <v>2731327.2</v>
      </c>
      <c r="O39" s="5">
        <f t="shared" si="33"/>
        <v>605115</v>
      </c>
      <c r="P39" s="67">
        <f t="shared" si="34"/>
        <v>93094.61538461539</v>
      </c>
      <c r="Q39" s="67">
        <f t="shared" si="35"/>
        <v>78772.36686390534</v>
      </c>
      <c r="R39" s="5">
        <f t="shared" si="31"/>
        <v>1365663.6</v>
      </c>
      <c r="S39" s="67">
        <f t="shared" si="36"/>
        <v>227610.6</v>
      </c>
      <c r="T39" s="67">
        <f t="shared" si="37"/>
        <v>1251858.3</v>
      </c>
      <c r="U39" s="5">
        <f t="shared" si="38"/>
        <v>1361115</v>
      </c>
      <c r="V39" s="67">
        <f t="shared" si="39"/>
        <v>209402.3076923077</v>
      </c>
      <c r="W39" s="67">
        <f t="shared" si="40"/>
        <v>1151712.6923076923</v>
      </c>
      <c r="X39" s="5">
        <f t="shared" si="41"/>
        <v>8193981.600000001</v>
      </c>
      <c r="Y39" s="5">
        <f t="shared" si="42"/>
        <v>7538483.076923077</v>
      </c>
      <c r="Z39" s="5">
        <f t="shared" si="43"/>
        <v>1167868.8</v>
      </c>
      <c r="AA39" s="5">
        <f t="shared" si="44"/>
        <v>45066898.800000004</v>
      </c>
      <c r="AB39" s="5">
        <f t="shared" si="45"/>
        <v>41461656.92307692</v>
      </c>
      <c r="AC39" s="5">
        <f t="shared" si="46"/>
        <v>6423278.399999999</v>
      </c>
      <c r="AD39" s="5">
        <f t="shared" si="47"/>
        <v>8193981.600000001</v>
      </c>
      <c r="AE39" s="5">
        <f t="shared" si="48"/>
        <v>3351406.153846154</v>
      </c>
      <c r="AF39" s="5">
        <f t="shared" si="49"/>
        <v>1167868.8</v>
      </c>
      <c r="AG39" s="5">
        <v>45000</v>
      </c>
      <c r="AH39" s="1">
        <v>36</v>
      </c>
    </row>
    <row r="40" spans="1:34" ht="12.75">
      <c r="A40" s="14" t="s">
        <v>117</v>
      </c>
      <c r="B40" s="62">
        <v>12889000</v>
      </c>
      <c r="C40" s="7" t="s">
        <v>9</v>
      </c>
      <c r="D40" s="62">
        <v>14439948</v>
      </c>
      <c r="E40" s="5">
        <f t="shared" si="24"/>
        <v>1550948</v>
      </c>
      <c r="F40" s="5">
        <v>757762</v>
      </c>
      <c r="G40" s="5">
        <v>2162212</v>
      </c>
      <c r="H40" s="5">
        <f t="shared" si="25"/>
        <v>1404450</v>
      </c>
      <c r="I40" s="5">
        <f t="shared" si="26"/>
        <v>540000</v>
      </c>
      <c r="J40" s="5">
        <f t="shared" si="27"/>
        <v>864450</v>
      </c>
      <c r="K40" s="5">
        <f t="shared" si="28"/>
        <v>432225</v>
      </c>
      <c r="L40" s="5">
        <f t="shared" si="29"/>
        <v>972225</v>
      </c>
      <c r="M40" s="5">
        <f t="shared" si="30"/>
        <v>432225</v>
      </c>
      <c r="N40" s="5">
        <f t="shared" si="32"/>
        <v>2171327.2</v>
      </c>
      <c r="O40" s="5">
        <f t="shared" si="33"/>
        <v>605115</v>
      </c>
      <c r="P40" s="67">
        <f t="shared" si="34"/>
        <v>93094.61538461539</v>
      </c>
      <c r="Q40" s="67">
        <f t="shared" si="35"/>
        <v>78772.36686390534</v>
      </c>
      <c r="R40" s="5">
        <f t="shared" si="31"/>
        <v>1085663.6</v>
      </c>
      <c r="S40" s="67">
        <f t="shared" si="36"/>
        <v>180943.93333333335</v>
      </c>
      <c r="T40" s="67">
        <f t="shared" si="37"/>
        <v>995191.6333333334</v>
      </c>
      <c r="U40" s="5">
        <f t="shared" si="38"/>
        <v>1361115</v>
      </c>
      <c r="V40" s="67">
        <f t="shared" si="39"/>
        <v>209402.3076923077</v>
      </c>
      <c r="W40" s="67">
        <f t="shared" si="40"/>
        <v>1151712.6923076923</v>
      </c>
      <c r="X40" s="5">
        <f t="shared" si="41"/>
        <v>4704542.266666668</v>
      </c>
      <c r="Y40" s="5">
        <f t="shared" si="42"/>
        <v>5444460</v>
      </c>
      <c r="Z40" s="5">
        <f t="shared" si="43"/>
        <v>774883.2000000001</v>
      </c>
      <c r="AA40" s="5">
        <f t="shared" si="44"/>
        <v>25874982.46666667</v>
      </c>
      <c r="AB40" s="5">
        <f t="shared" si="45"/>
        <v>29944530</v>
      </c>
      <c r="AC40" s="5">
        <f t="shared" si="46"/>
        <v>4261857.600000001</v>
      </c>
      <c r="AD40" s="5">
        <f t="shared" si="47"/>
        <v>4704542.266666668</v>
      </c>
      <c r="AE40" s="5">
        <f t="shared" si="48"/>
        <v>2420460</v>
      </c>
      <c r="AF40" s="5">
        <f t="shared" si="49"/>
        <v>774883.2000000001</v>
      </c>
      <c r="AG40" s="5">
        <v>45000</v>
      </c>
      <c r="AH40" s="1">
        <v>26</v>
      </c>
    </row>
    <row r="41" spans="1:34" ht="12.75">
      <c r="A41" s="14">
        <v>4</v>
      </c>
      <c r="B41" s="62">
        <v>13741000</v>
      </c>
      <c r="C41" s="7" t="s">
        <v>10</v>
      </c>
      <c r="D41" s="62">
        <v>15419628</v>
      </c>
      <c r="E41" s="5">
        <f t="shared" si="24"/>
        <v>1678628</v>
      </c>
      <c r="F41" s="5">
        <v>847571</v>
      </c>
      <c r="G41" s="5">
        <v>2269787</v>
      </c>
      <c r="H41" s="5">
        <f t="shared" si="25"/>
        <v>1422216</v>
      </c>
      <c r="I41" s="5">
        <f t="shared" si="26"/>
        <v>540000</v>
      </c>
      <c r="J41" s="5">
        <f t="shared" si="27"/>
        <v>882216</v>
      </c>
      <c r="K41" s="5">
        <f t="shared" si="28"/>
        <v>441108</v>
      </c>
      <c r="L41" s="5">
        <f t="shared" si="29"/>
        <v>981108</v>
      </c>
      <c r="M41" s="5">
        <f t="shared" si="30"/>
        <v>441108</v>
      </c>
      <c r="N41" s="5">
        <f t="shared" si="32"/>
        <v>2350079.2</v>
      </c>
      <c r="O41" s="5">
        <f t="shared" si="33"/>
        <v>617551.2</v>
      </c>
      <c r="P41" s="67">
        <f t="shared" si="34"/>
        <v>95007.87692307691</v>
      </c>
      <c r="Q41" s="67">
        <f t="shared" si="35"/>
        <v>80391.28047337277</v>
      </c>
      <c r="R41" s="5">
        <f t="shared" si="31"/>
        <v>1175039.6</v>
      </c>
      <c r="S41" s="67">
        <f t="shared" si="36"/>
        <v>195839.93333333335</v>
      </c>
      <c r="T41" s="67">
        <f t="shared" si="37"/>
        <v>1077119.6333333333</v>
      </c>
      <c r="U41" s="5">
        <f t="shared" si="38"/>
        <v>1373551.2</v>
      </c>
      <c r="V41" s="67">
        <f t="shared" si="39"/>
        <v>211315.56923076924</v>
      </c>
      <c r="W41" s="67">
        <f t="shared" si="40"/>
        <v>1162235.630769231</v>
      </c>
      <c r="X41" s="5">
        <f t="shared" si="41"/>
        <v>58947819.93333334</v>
      </c>
      <c r="Y41" s="5">
        <f t="shared" si="42"/>
        <v>63605986.33846154</v>
      </c>
      <c r="Z41" s="5">
        <f t="shared" si="43"/>
        <v>8192016</v>
      </c>
      <c r="AA41" s="5">
        <f t="shared" si="44"/>
        <v>324213009.6333333</v>
      </c>
      <c r="AB41" s="5">
        <f t="shared" si="45"/>
        <v>349832924.86153847</v>
      </c>
      <c r="AC41" s="5">
        <f t="shared" si="46"/>
        <v>45056088</v>
      </c>
      <c r="AD41" s="5">
        <f t="shared" si="47"/>
        <v>58947819.93333334</v>
      </c>
      <c r="AE41" s="5">
        <f t="shared" si="48"/>
        <v>28597370.95384615</v>
      </c>
      <c r="AF41" s="5">
        <f t="shared" si="49"/>
        <v>8192016</v>
      </c>
      <c r="AG41" s="5">
        <v>45000</v>
      </c>
      <c r="AH41" s="1">
        <v>301</v>
      </c>
    </row>
    <row r="42" spans="1:34" ht="12.75">
      <c r="A42" s="14" t="s">
        <v>118</v>
      </c>
      <c r="B42" s="62">
        <v>14277000</v>
      </c>
      <c r="C42" s="7" t="s">
        <v>10</v>
      </c>
      <c r="D42" s="62">
        <v>15419628</v>
      </c>
      <c r="E42" s="5">
        <f t="shared" si="24"/>
        <v>1142628</v>
      </c>
      <c r="F42" s="5">
        <v>847571</v>
      </c>
      <c r="G42" s="5">
        <v>2269787</v>
      </c>
      <c r="H42" s="5">
        <f t="shared" si="25"/>
        <v>1422216</v>
      </c>
      <c r="I42" s="5">
        <f t="shared" si="26"/>
        <v>540000</v>
      </c>
      <c r="J42" s="5">
        <f t="shared" si="27"/>
        <v>882216</v>
      </c>
      <c r="K42" s="5">
        <f t="shared" si="28"/>
        <v>441108</v>
      </c>
      <c r="L42" s="5">
        <f t="shared" si="29"/>
        <v>981108</v>
      </c>
      <c r="M42" s="5">
        <f t="shared" si="30"/>
        <v>441108</v>
      </c>
      <c r="N42" s="5">
        <f t="shared" si="32"/>
        <v>1599679.2</v>
      </c>
      <c r="O42" s="5">
        <f t="shared" si="33"/>
        <v>617551.2</v>
      </c>
      <c r="P42" s="67">
        <f t="shared" si="34"/>
        <v>95007.87692307691</v>
      </c>
      <c r="Q42" s="67">
        <f t="shared" si="35"/>
        <v>80391.28047337277</v>
      </c>
      <c r="R42" s="5">
        <f t="shared" si="31"/>
        <v>799839.6</v>
      </c>
      <c r="S42" s="67">
        <f t="shared" si="36"/>
        <v>133306.6</v>
      </c>
      <c r="T42" s="67">
        <f t="shared" si="37"/>
        <v>733186.3</v>
      </c>
      <c r="U42" s="5">
        <f t="shared" si="38"/>
        <v>1373551.2</v>
      </c>
      <c r="V42" s="67">
        <f t="shared" si="39"/>
        <v>211315.56923076924</v>
      </c>
      <c r="W42" s="67">
        <f t="shared" si="40"/>
        <v>1162235.630769231</v>
      </c>
      <c r="X42" s="5">
        <f t="shared" si="41"/>
        <v>60121276.6</v>
      </c>
      <c r="Y42" s="5">
        <f t="shared" si="42"/>
        <v>95303321.72307692</v>
      </c>
      <c r="Z42" s="5">
        <f t="shared" si="43"/>
        <v>10680762.399999999</v>
      </c>
      <c r="AA42" s="5">
        <f t="shared" si="44"/>
        <v>330667021.3</v>
      </c>
      <c r="AB42" s="5">
        <f t="shared" si="45"/>
        <v>524168269.4769231</v>
      </c>
      <c r="AC42" s="5">
        <f t="shared" si="46"/>
        <v>58744193.199999996</v>
      </c>
      <c r="AD42" s="5">
        <f t="shared" si="47"/>
        <v>60121276.6</v>
      </c>
      <c r="AE42" s="5">
        <f t="shared" si="48"/>
        <v>42848552.492307685</v>
      </c>
      <c r="AF42" s="5">
        <f t="shared" si="49"/>
        <v>10680762.399999999</v>
      </c>
      <c r="AG42" s="5">
        <v>45000</v>
      </c>
      <c r="AH42" s="1">
        <v>451</v>
      </c>
    </row>
    <row r="43" spans="1:34" ht="12.75">
      <c r="A43" s="14">
        <v>5</v>
      </c>
      <c r="B43" s="62">
        <v>15285000</v>
      </c>
      <c r="C43" s="7" t="s">
        <v>11</v>
      </c>
      <c r="D43" s="62">
        <v>16096380</v>
      </c>
      <c r="E43" s="5">
        <f t="shared" si="24"/>
        <v>811380</v>
      </c>
      <c r="F43" s="5">
        <v>971058</v>
      </c>
      <c r="G43" s="5">
        <v>2350510</v>
      </c>
      <c r="H43" s="5">
        <f t="shared" si="25"/>
        <v>1379452</v>
      </c>
      <c r="I43" s="5">
        <f t="shared" si="26"/>
        <v>540000</v>
      </c>
      <c r="J43" s="5">
        <f t="shared" si="27"/>
        <v>839452</v>
      </c>
      <c r="K43" s="5">
        <f t="shared" si="28"/>
        <v>419726</v>
      </c>
      <c r="L43" s="5">
        <f t="shared" si="29"/>
        <v>959726</v>
      </c>
      <c r="M43" s="5">
        <f t="shared" si="30"/>
        <v>419726</v>
      </c>
      <c r="N43" s="5">
        <f t="shared" si="32"/>
        <v>1135932</v>
      </c>
      <c r="O43" s="5">
        <f t="shared" si="33"/>
        <v>587616.4</v>
      </c>
      <c r="P43" s="67">
        <f t="shared" si="34"/>
        <v>90402.52307692308</v>
      </c>
      <c r="Q43" s="67">
        <f t="shared" si="35"/>
        <v>76494.4426035503</v>
      </c>
      <c r="R43" s="5">
        <f t="shared" si="31"/>
        <v>567966</v>
      </c>
      <c r="S43" s="67">
        <f t="shared" si="36"/>
        <v>94661</v>
      </c>
      <c r="T43" s="67">
        <f t="shared" si="37"/>
        <v>520635.5</v>
      </c>
      <c r="U43" s="5">
        <f t="shared" si="38"/>
        <v>1343616.4</v>
      </c>
      <c r="V43" s="67">
        <f t="shared" si="39"/>
        <v>206710.21538461538</v>
      </c>
      <c r="W43" s="67">
        <f t="shared" si="40"/>
        <v>1136906.1846153846</v>
      </c>
      <c r="X43" s="5">
        <f t="shared" si="41"/>
        <v>3502457</v>
      </c>
      <c r="Y43" s="5">
        <f t="shared" si="42"/>
        <v>7648277.969230769</v>
      </c>
      <c r="Z43" s="5">
        <f t="shared" si="43"/>
        <v>108158.40000000001</v>
      </c>
      <c r="AA43" s="5">
        <f t="shared" si="44"/>
        <v>19263513.5</v>
      </c>
      <c r="AB43" s="5">
        <f t="shared" si="45"/>
        <v>42065528.830769226</v>
      </c>
      <c r="AC43" s="5">
        <f t="shared" si="46"/>
        <v>594871.2000000001</v>
      </c>
      <c r="AD43" s="5">
        <f t="shared" si="47"/>
        <v>3502457</v>
      </c>
      <c r="AE43" s="5">
        <f t="shared" si="48"/>
        <v>3344893.353846154</v>
      </c>
      <c r="AF43" s="5">
        <f t="shared" si="49"/>
        <v>108158.40000000001</v>
      </c>
      <c r="AG43" s="5">
        <v>45000</v>
      </c>
      <c r="AH43" s="1">
        <v>37</v>
      </c>
    </row>
    <row r="44" spans="1:34" ht="12.75">
      <c r="A44" s="14" t="s">
        <v>119</v>
      </c>
      <c r="B44" s="62">
        <v>15729000</v>
      </c>
      <c r="C44" s="7" t="s">
        <v>11</v>
      </c>
      <c r="D44" s="62">
        <v>16096380</v>
      </c>
      <c r="E44" s="5">
        <f t="shared" si="24"/>
        <v>367380</v>
      </c>
      <c r="F44" s="5">
        <v>971058</v>
      </c>
      <c r="G44" s="5">
        <v>2350510</v>
      </c>
      <c r="H44" s="5">
        <f t="shared" si="25"/>
        <v>1379452</v>
      </c>
      <c r="I44" s="5">
        <f t="shared" si="26"/>
        <v>540000</v>
      </c>
      <c r="J44" s="5">
        <f t="shared" si="27"/>
        <v>839452</v>
      </c>
      <c r="K44" s="5">
        <f t="shared" si="28"/>
        <v>419726</v>
      </c>
      <c r="L44" s="5">
        <f t="shared" si="29"/>
        <v>959726</v>
      </c>
      <c r="M44" s="5">
        <f t="shared" si="30"/>
        <v>419726</v>
      </c>
      <c r="N44" s="5">
        <f t="shared" si="32"/>
        <v>514332</v>
      </c>
      <c r="O44" s="5">
        <f t="shared" si="33"/>
        <v>587616.4</v>
      </c>
      <c r="P44" s="67">
        <f t="shared" si="34"/>
        <v>90402.52307692308</v>
      </c>
      <c r="Q44" s="67">
        <f t="shared" si="35"/>
        <v>76494.4426035503</v>
      </c>
      <c r="R44" s="5">
        <f t="shared" si="31"/>
        <v>257166</v>
      </c>
      <c r="S44" s="67">
        <f t="shared" si="36"/>
        <v>42861</v>
      </c>
      <c r="T44" s="67">
        <f t="shared" si="37"/>
        <v>235735.5</v>
      </c>
      <c r="U44" s="5">
        <f t="shared" si="38"/>
        <v>1343616.4</v>
      </c>
      <c r="V44" s="67">
        <f t="shared" si="39"/>
        <v>206710.21538461538</v>
      </c>
      <c r="W44" s="67">
        <f t="shared" si="40"/>
        <v>1136906.1846153846</v>
      </c>
      <c r="X44" s="5">
        <f t="shared" si="41"/>
        <v>6386289</v>
      </c>
      <c r="Y44" s="5">
        <f t="shared" si="42"/>
        <v>30799822.09230769</v>
      </c>
      <c r="Z44" s="5">
        <f t="shared" si="43"/>
        <v>0</v>
      </c>
      <c r="AA44" s="5">
        <f t="shared" si="44"/>
        <v>35124589.5</v>
      </c>
      <c r="AB44" s="5">
        <f t="shared" si="45"/>
        <v>169399021.5076923</v>
      </c>
      <c r="AC44" s="5">
        <f t="shared" si="46"/>
        <v>0</v>
      </c>
      <c r="AD44" s="5">
        <f t="shared" si="47"/>
        <v>6386289</v>
      </c>
      <c r="AE44" s="5">
        <f t="shared" si="48"/>
        <v>13469975.93846154</v>
      </c>
      <c r="AF44" s="5">
        <f t="shared" si="49"/>
        <v>0</v>
      </c>
      <c r="AG44" s="5">
        <v>45000</v>
      </c>
      <c r="AH44" s="1">
        <v>149</v>
      </c>
    </row>
    <row r="45" spans="1:34" ht="12.75">
      <c r="A45" s="14">
        <v>5</v>
      </c>
      <c r="B45" s="62">
        <v>15285000</v>
      </c>
      <c r="C45" s="7" t="s">
        <v>121</v>
      </c>
      <c r="D45" s="62">
        <v>16773132</v>
      </c>
      <c r="E45" s="5">
        <f t="shared" si="24"/>
        <v>1488132</v>
      </c>
      <c r="F45" s="5">
        <v>971058</v>
      </c>
      <c r="G45" s="5">
        <v>2431234</v>
      </c>
      <c r="H45" s="5">
        <f t="shared" si="25"/>
        <v>1460176</v>
      </c>
      <c r="I45" s="5">
        <f t="shared" si="26"/>
        <v>540000</v>
      </c>
      <c r="J45" s="5">
        <f t="shared" si="27"/>
        <v>920176</v>
      </c>
      <c r="K45" s="5">
        <f t="shared" si="28"/>
        <v>460088</v>
      </c>
      <c r="L45" s="5">
        <f t="shared" si="29"/>
        <v>1000088</v>
      </c>
      <c r="M45" s="5">
        <f t="shared" si="30"/>
        <v>460088</v>
      </c>
      <c r="N45" s="5">
        <f t="shared" si="32"/>
        <v>2083384.8</v>
      </c>
      <c r="O45" s="5">
        <f t="shared" si="33"/>
        <v>644123.2</v>
      </c>
      <c r="P45" s="67">
        <f t="shared" si="34"/>
        <v>99095.87692307691</v>
      </c>
      <c r="Q45" s="67">
        <f t="shared" si="35"/>
        <v>83850.35739644969</v>
      </c>
      <c r="R45" s="5">
        <f t="shared" si="31"/>
        <v>1041692.4</v>
      </c>
      <c r="S45" s="67">
        <f t="shared" si="36"/>
        <v>173615.4</v>
      </c>
      <c r="T45" s="67">
        <f t="shared" si="37"/>
        <v>954884.7</v>
      </c>
      <c r="U45" s="5">
        <f t="shared" si="38"/>
        <v>1400123.2</v>
      </c>
      <c r="V45" s="67">
        <f t="shared" si="39"/>
        <v>215403.56923076924</v>
      </c>
      <c r="W45" s="67">
        <f t="shared" si="40"/>
        <v>1184719.630769231</v>
      </c>
      <c r="X45" s="5">
        <f t="shared" si="41"/>
        <v>43403850</v>
      </c>
      <c r="Y45" s="5">
        <f t="shared" si="42"/>
        <v>53850892.30769231</v>
      </c>
      <c r="Z45" s="5">
        <f t="shared" si="43"/>
        <v>4321099.999999999</v>
      </c>
      <c r="AA45" s="5">
        <f t="shared" si="44"/>
        <v>238721175</v>
      </c>
      <c r="AB45" s="5">
        <f t="shared" si="45"/>
        <v>296179907.6923077</v>
      </c>
      <c r="AC45" s="5">
        <f t="shared" si="46"/>
        <v>23766049.999999996</v>
      </c>
      <c r="AD45" s="5">
        <f t="shared" si="47"/>
        <v>43403850</v>
      </c>
      <c r="AE45" s="5">
        <f t="shared" si="48"/>
        <v>24773969.23076923</v>
      </c>
      <c r="AF45" s="5">
        <f t="shared" si="49"/>
        <v>4321099.999999999</v>
      </c>
      <c r="AG45" s="5">
        <v>45000</v>
      </c>
      <c r="AH45" s="1">
        <v>250</v>
      </c>
    </row>
    <row r="46" spans="1:34" ht="12.75">
      <c r="A46" s="14" t="s">
        <v>119</v>
      </c>
      <c r="B46" s="62">
        <v>15729000</v>
      </c>
      <c r="C46" s="7" t="s">
        <v>121</v>
      </c>
      <c r="D46" s="62">
        <v>16773132</v>
      </c>
      <c r="E46" s="5">
        <f t="shared" si="24"/>
        <v>1044132</v>
      </c>
      <c r="F46" s="5">
        <v>971058</v>
      </c>
      <c r="G46" s="5">
        <v>2431234</v>
      </c>
      <c r="H46" s="5">
        <f t="shared" si="25"/>
        <v>1460176</v>
      </c>
      <c r="I46" s="5">
        <f t="shared" si="26"/>
        <v>540000</v>
      </c>
      <c r="J46" s="5">
        <f t="shared" si="27"/>
        <v>920176</v>
      </c>
      <c r="K46" s="5">
        <f t="shared" si="28"/>
        <v>460088</v>
      </c>
      <c r="L46" s="5">
        <f t="shared" si="29"/>
        <v>1000088</v>
      </c>
      <c r="M46" s="5">
        <f t="shared" si="30"/>
        <v>460088</v>
      </c>
      <c r="N46" s="5">
        <f t="shared" si="32"/>
        <v>1461784.8</v>
      </c>
      <c r="O46" s="5">
        <f t="shared" si="33"/>
        <v>644123.2</v>
      </c>
      <c r="P46" s="67">
        <f t="shared" si="34"/>
        <v>99095.87692307691</v>
      </c>
      <c r="Q46" s="67">
        <f t="shared" si="35"/>
        <v>83850.35739644969</v>
      </c>
      <c r="R46" s="5">
        <f t="shared" si="31"/>
        <v>730892.4</v>
      </c>
      <c r="S46" s="67">
        <f t="shared" si="36"/>
        <v>121815.40000000001</v>
      </c>
      <c r="T46" s="67">
        <f t="shared" si="37"/>
        <v>669984.7000000001</v>
      </c>
      <c r="U46" s="5">
        <f t="shared" si="38"/>
        <v>1400123.2</v>
      </c>
      <c r="V46" s="67">
        <f t="shared" si="39"/>
        <v>215403.56923076924</v>
      </c>
      <c r="W46" s="67">
        <f t="shared" si="40"/>
        <v>1184719.630769231</v>
      </c>
      <c r="X46" s="5">
        <f t="shared" si="41"/>
        <v>7308924.000000001</v>
      </c>
      <c r="Y46" s="5">
        <f t="shared" si="42"/>
        <v>12924214.153846154</v>
      </c>
      <c r="Z46" s="5">
        <f t="shared" si="43"/>
        <v>861671.9999999999</v>
      </c>
      <c r="AA46" s="5">
        <f t="shared" si="44"/>
        <v>40199082.00000001</v>
      </c>
      <c r="AB46" s="5">
        <f t="shared" si="45"/>
        <v>71083177.84615386</v>
      </c>
      <c r="AC46" s="5">
        <f t="shared" si="46"/>
        <v>4739195.999999999</v>
      </c>
      <c r="AD46" s="5">
        <f t="shared" si="47"/>
        <v>7308924.000000001</v>
      </c>
      <c r="AE46" s="5">
        <f t="shared" si="48"/>
        <v>5945752.615384615</v>
      </c>
      <c r="AF46" s="5">
        <f t="shared" si="49"/>
        <v>861671.9999999999</v>
      </c>
      <c r="AG46" s="5">
        <v>45000</v>
      </c>
      <c r="AH46" s="1">
        <v>60</v>
      </c>
    </row>
    <row r="47" spans="1:34" ht="12.75">
      <c r="A47" s="14">
        <v>6</v>
      </c>
      <c r="B47" s="62">
        <v>16695000</v>
      </c>
      <c r="C47" s="7" t="s">
        <v>13</v>
      </c>
      <c r="D47" s="62">
        <v>19979880</v>
      </c>
      <c r="E47" s="5">
        <f t="shared" si="24"/>
        <v>3284880</v>
      </c>
      <c r="F47" s="5">
        <v>1072093</v>
      </c>
      <c r="G47" s="5">
        <v>2732834</v>
      </c>
      <c r="H47" s="5">
        <f t="shared" si="25"/>
        <v>1660741</v>
      </c>
      <c r="I47" s="5">
        <f t="shared" si="26"/>
        <v>780000</v>
      </c>
      <c r="J47" s="5">
        <f t="shared" si="27"/>
        <v>880741</v>
      </c>
      <c r="K47" s="5">
        <f t="shared" si="28"/>
        <v>440370.5</v>
      </c>
      <c r="L47" s="5">
        <f t="shared" si="29"/>
        <v>1220370.5</v>
      </c>
      <c r="M47" s="5">
        <f t="shared" si="30"/>
        <v>440370.5</v>
      </c>
      <c r="N47" s="5">
        <f t="shared" si="32"/>
        <v>4598832</v>
      </c>
      <c r="O47" s="5">
        <f t="shared" si="33"/>
        <v>616518.7</v>
      </c>
      <c r="P47" s="67">
        <f t="shared" si="34"/>
        <v>94849.03076923077</v>
      </c>
      <c r="Q47" s="67">
        <f t="shared" si="35"/>
        <v>80256.8721893491</v>
      </c>
      <c r="R47" s="5">
        <f t="shared" si="31"/>
        <v>2299416</v>
      </c>
      <c r="S47" s="67">
        <f t="shared" si="36"/>
        <v>383236</v>
      </c>
      <c r="T47" s="67">
        <f t="shared" si="37"/>
        <v>2107798</v>
      </c>
      <c r="U47" s="5">
        <f t="shared" si="38"/>
        <v>1708518.7</v>
      </c>
      <c r="V47" s="67">
        <f t="shared" si="39"/>
        <v>262849.03076923074</v>
      </c>
      <c r="W47" s="67">
        <f t="shared" si="40"/>
        <v>1445669.6692307692</v>
      </c>
      <c r="X47" s="5">
        <f t="shared" si="41"/>
        <v>68982480</v>
      </c>
      <c r="Y47" s="5">
        <f t="shared" si="42"/>
        <v>47312825.538461536</v>
      </c>
      <c r="Z47" s="5">
        <f t="shared" si="43"/>
        <v>8015616.000000001</v>
      </c>
      <c r="AA47" s="5">
        <f t="shared" si="44"/>
        <v>379403640</v>
      </c>
      <c r="AB47" s="5">
        <f t="shared" si="45"/>
        <v>260220540.46153843</v>
      </c>
      <c r="AC47" s="5">
        <f t="shared" si="46"/>
        <v>44085888.00000001</v>
      </c>
      <c r="AD47" s="5">
        <f t="shared" si="47"/>
        <v>68982480</v>
      </c>
      <c r="AE47" s="5">
        <f t="shared" si="48"/>
        <v>17072825.53846154</v>
      </c>
      <c r="AF47" s="5">
        <f t="shared" si="49"/>
        <v>8015616.000000001</v>
      </c>
      <c r="AG47" s="5">
        <v>65000</v>
      </c>
      <c r="AH47" s="1">
        <v>180</v>
      </c>
    </row>
    <row r="48" spans="1:34" ht="12.75">
      <c r="A48" s="14" t="s">
        <v>120</v>
      </c>
      <c r="B48" s="62">
        <v>17495000</v>
      </c>
      <c r="C48" s="7" t="s">
        <v>13</v>
      </c>
      <c r="D48" s="62">
        <v>19979880</v>
      </c>
      <c r="E48" s="5">
        <f t="shared" si="24"/>
        <v>2484880</v>
      </c>
      <c r="F48" s="5">
        <v>1072093</v>
      </c>
      <c r="G48" s="5">
        <v>2732834</v>
      </c>
      <c r="H48" s="5">
        <f t="shared" si="25"/>
        <v>1660741</v>
      </c>
      <c r="I48" s="5">
        <f t="shared" si="26"/>
        <v>780000</v>
      </c>
      <c r="J48" s="5">
        <f t="shared" si="27"/>
        <v>880741</v>
      </c>
      <c r="K48" s="5">
        <f t="shared" si="28"/>
        <v>440370.5</v>
      </c>
      <c r="L48" s="5">
        <f t="shared" si="29"/>
        <v>1220370.5</v>
      </c>
      <c r="M48" s="5">
        <f t="shared" si="30"/>
        <v>440370.5</v>
      </c>
      <c r="N48" s="5">
        <f t="shared" si="32"/>
        <v>3478832</v>
      </c>
      <c r="O48" s="5">
        <f t="shared" si="33"/>
        <v>616518.7</v>
      </c>
      <c r="P48" s="67">
        <f t="shared" si="34"/>
        <v>94849.03076923077</v>
      </c>
      <c r="Q48" s="67">
        <f t="shared" si="35"/>
        <v>80256.8721893491</v>
      </c>
      <c r="R48" s="5">
        <f t="shared" si="31"/>
        <v>1739416</v>
      </c>
      <c r="S48" s="67">
        <f t="shared" si="36"/>
        <v>289902.6666666667</v>
      </c>
      <c r="T48" s="67">
        <f t="shared" si="37"/>
        <v>1594464.6666666667</v>
      </c>
      <c r="U48" s="5">
        <f t="shared" si="38"/>
        <v>1708518.7</v>
      </c>
      <c r="V48" s="67">
        <f t="shared" si="39"/>
        <v>262849.03076923074</v>
      </c>
      <c r="W48" s="67">
        <f t="shared" si="40"/>
        <v>1445669.6692307692</v>
      </c>
      <c r="X48" s="5">
        <f t="shared" si="41"/>
        <v>77983817.33333334</v>
      </c>
      <c r="Y48" s="5">
        <f t="shared" si="42"/>
        <v>70706389.27692308</v>
      </c>
      <c r="Z48" s="5">
        <f t="shared" si="43"/>
        <v>10560617.2</v>
      </c>
      <c r="AA48" s="5">
        <f t="shared" si="44"/>
        <v>428910995.3333334</v>
      </c>
      <c r="AB48" s="5">
        <f t="shared" si="45"/>
        <v>388885141.0230769</v>
      </c>
      <c r="AC48" s="5">
        <f t="shared" si="46"/>
        <v>58083394.599999994</v>
      </c>
      <c r="AD48" s="5">
        <f t="shared" si="47"/>
        <v>77983817.33333334</v>
      </c>
      <c r="AE48" s="5">
        <f t="shared" si="48"/>
        <v>25514389.276923075</v>
      </c>
      <c r="AF48" s="5">
        <f t="shared" si="49"/>
        <v>10560617.2</v>
      </c>
      <c r="AG48" s="5">
        <v>65000</v>
      </c>
      <c r="AH48" s="1">
        <v>269</v>
      </c>
    </row>
    <row r="49" spans="1:34" ht="12.75">
      <c r="A49" s="14">
        <v>7</v>
      </c>
      <c r="B49" s="62">
        <v>19259000</v>
      </c>
      <c r="C49" s="7" t="s">
        <v>127</v>
      </c>
      <c r="D49" s="62">
        <v>24455000</v>
      </c>
      <c r="E49" s="5">
        <f t="shared" si="24"/>
        <v>5196000</v>
      </c>
      <c r="F49" s="5">
        <v>1324681</v>
      </c>
      <c r="G49" s="5">
        <v>3077724</v>
      </c>
      <c r="H49" s="5">
        <f t="shared" si="25"/>
        <v>1753043</v>
      </c>
      <c r="I49" s="5">
        <f t="shared" si="26"/>
        <v>780000</v>
      </c>
      <c r="J49" s="5">
        <f t="shared" si="27"/>
        <v>973043</v>
      </c>
      <c r="K49" s="5">
        <f t="shared" si="28"/>
        <v>486521.5</v>
      </c>
      <c r="L49" s="5">
        <f t="shared" si="29"/>
        <v>1266521.5</v>
      </c>
      <c r="M49" s="5">
        <f t="shared" si="30"/>
        <v>486521.5</v>
      </c>
      <c r="N49" s="5">
        <f t="shared" si="32"/>
        <v>7274400</v>
      </c>
      <c r="O49" s="5">
        <f t="shared" si="33"/>
        <v>681130.1</v>
      </c>
      <c r="P49" s="67">
        <f t="shared" si="34"/>
        <v>104789.24615384615</v>
      </c>
      <c r="Q49" s="67">
        <f t="shared" si="35"/>
        <v>88667.82366863904</v>
      </c>
      <c r="R49" s="5">
        <f t="shared" si="31"/>
        <v>3637200</v>
      </c>
      <c r="S49" s="67">
        <f t="shared" si="36"/>
        <v>606200</v>
      </c>
      <c r="T49" s="67">
        <f t="shared" si="37"/>
        <v>3334100</v>
      </c>
      <c r="U49" s="5">
        <f t="shared" si="38"/>
        <v>1773130.1</v>
      </c>
      <c r="V49" s="67">
        <f t="shared" si="39"/>
        <v>272789.24615384615</v>
      </c>
      <c r="W49" s="67">
        <f t="shared" si="40"/>
        <v>1500340.8538461537</v>
      </c>
      <c r="X49" s="5">
        <f t="shared" si="41"/>
        <v>93354800</v>
      </c>
      <c r="Y49" s="5">
        <f t="shared" si="42"/>
        <v>42009543.907692306</v>
      </c>
      <c r="Z49" s="5">
        <f t="shared" si="43"/>
        <v>12436239.200000001</v>
      </c>
      <c r="AA49" s="5">
        <f t="shared" si="44"/>
        <v>513451400</v>
      </c>
      <c r="AB49" s="5">
        <f t="shared" si="45"/>
        <v>231052491.49230766</v>
      </c>
      <c r="AC49" s="5">
        <f t="shared" si="46"/>
        <v>68399315.60000001</v>
      </c>
      <c r="AD49" s="5">
        <f t="shared" si="47"/>
        <v>93354800</v>
      </c>
      <c r="AE49" s="5">
        <f t="shared" si="48"/>
        <v>16137543.907692308</v>
      </c>
      <c r="AF49" s="5">
        <f t="shared" si="49"/>
        <v>12436239.200000001</v>
      </c>
      <c r="AG49" s="5">
        <v>65000</v>
      </c>
      <c r="AH49" s="1">
        <v>154</v>
      </c>
    </row>
    <row r="50" spans="1:34" ht="12.75">
      <c r="A50" s="14" t="s">
        <v>122</v>
      </c>
      <c r="B50" s="62">
        <v>21159000</v>
      </c>
      <c r="C50" s="7" t="s">
        <v>127</v>
      </c>
      <c r="D50" s="62">
        <v>24455000</v>
      </c>
      <c r="E50" s="5">
        <f t="shared" si="24"/>
        <v>3296000</v>
      </c>
      <c r="F50" s="5">
        <v>1324681</v>
      </c>
      <c r="G50" s="5">
        <v>3077724</v>
      </c>
      <c r="H50" s="5">
        <f t="shared" si="25"/>
        <v>1753043</v>
      </c>
      <c r="I50" s="5">
        <f t="shared" si="26"/>
        <v>780000</v>
      </c>
      <c r="J50" s="5">
        <f t="shared" si="27"/>
        <v>973043</v>
      </c>
      <c r="K50" s="5">
        <f t="shared" si="28"/>
        <v>486521.5</v>
      </c>
      <c r="L50" s="5">
        <f t="shared" si="29"/>
        <v>1266521.5</v>
      </c>
      <c r="M50" s="5">
        <f t="shared" si="30"/>
        <v>486521.5</v>
      </c>
      <c r="N50" s="5">
        <f t="shared" si="32"/>
        <v>4614400</v>
      </c>
      <c r="O50" s="5">
        <f t="shared" si="33"/>
        <v>681130.1</v>
      </c>
      <c r="P50" s="67">
        <f t="shared" si="34"/>
        <v>104789.24615384615</v>
      </c>
      <c r="Q50" s="67">
        <f t="shared" si="35"/>
        <v>88667.82366863904</v>
      </c>
      <c r="R50" s="5">
        <f t="shared" si="31"/>
        <v>2307200</v>
      </c>
      <c r="S50" s="67">
        <f t="shared" si="36"/>
        <v>384533.3333333333</v>
      </c>
      <c r="T50" s="67">
        <f t="shared" si="37"/>
        <v>2114933.333333333</v>
      </c>
      <c r="U50" s="5">
        <f t="shared" si="38"/>
        <v>1773130.1</v>
      </c>
      <c r="V50" s="67">
        <f t="shared" si="39"/>
        <v>272789.24615384615</v>
      </c>
      <c r="W50" s="67">
        <f t="shared" si="40"/>
        <v>1500340.8538461537</v>
      </c>
      <c r="X50" s="5">
        <f t="shared" si="41"/>
        <v>14996800</v>
      </c>
      <c r="Y50" s="5">
        <f t="shared" si="42"/>
        <v>10638780.6</v>
      </c>
      <c r="Z50" s="5">
        <f t="shared" si="43"/>
        <v>2660767.2</v>
      </c>
      <c r="AA50" s="5">
        <f t="shared" si="44"/>
        <v>82482399.99999999</v>
      </c>
      <c r="AB50" s="5">
        <f t="shared" si="45"/>
        <v>58513293.3</v>
      </c>
      <c r="AC50" s="5">
        <f t="shared" si="46"/>
        <v>14634219.600000001</v>
      </c>
      <c r="AD50" s="5">
        <f t="shared" si="47"/>
        <v>14996800</v>
      </c>
      <c r="AE50" s="5">
        <f t="shared" si="48"/>
        <v>4086780.5999999996</v>
      </c>
      <c r="AF50" s="5">
        <f t="shared" si="49"/>
        <v>2660767.2</v>
      </c>
      <c r="AG50" s="5">
        <v>65000</v>
      </c>
      <c r="AH50" s="1">
        <v>39</v>
      </c>
    </row>
    <row r="51" spans="1:34" ht="12.75">
      <c r="A51" s="14">
        <v>8</v>
      </c>
      <c r="B51" s="62">
        <v>24455000</v>
      </c>
      <c r="C51" s="7" t="s">
        <v>127</v>
      </c>
      <c r="D51" s="62">
        <v>24455000</v>
      </c>
      <c r="E51" s="5">
        <f t="shared" si="24"/>
        <v>0</v>
      </c>
      <c r="F51" s="5">
        <v>1677077</v>
      </c>
      <c r="G51" s="5">
        <v>3077724</v>
      </c>
      <c r="H51" s="5">
        <f t="shared" si="25"/>
        <v>1400647</v>
      </c>
      <c r="I51" s="5">
        <f t="shared" si="26"/>
        <v>0</v>
      </c>
      <c r="J51" s="5">
        <f t="shared" si="27"/>
        <v>1400647</v>
      </c>
      <c r="K51" s="5">
        <f t="shared" si="28"/>
        <v>700323.5</v>
      </c>
      <c r="L51" s="5">
        <f t="shared" si="29"/>
        <v>700323.5</v>
      </c>
      <c r="M51" s="5">
        <f t="shared" si="30"/>
        <v>700323.5</v>
      </c>
      <c r="N51" s="5">
        <f t="shared" si="32"/>
        <v>0</v>
      </c>
      <c r="O51" s="5">
        <f t="shared" si="33"/>
        <v>980452.9</v>
      </c>
      <c r="P51" s="67">
        <f t="shared" si="34"/>
        <v>150838.9076923077</v>
      </c>
      <c r="Q51" s="67">
        <f t="shared" si="35"/>
        <v>127632.92189349112</v>
      </c>
      <c r="R51" s="5">
        <f t="shared" si="31"/>
        <v>0</v>
      </c>
      <c r="S51" s="67">
        <f t="shared" si="36"/>
        <v>0</v>
      </c>
      <c r="T51" s="67">
        <f t="shared" si="37"/>
        <v>0</v>
      </c>
      <c r="U51" s="5">
        <f t="shared" si="38"/>
        <v>980452.9</v>
      </c>
      <c r="V51" s="67">
        <f t="shared" si="39"/>
        <v>150838.9076923077</v>
      </c>
      <c r="W51" s="67">
        <f t="shared" si="40"/>
        <v>829613.9923076923</v>
      </c>
      <c r="X51" s="5">
        <f t="shared" si="41"/>
        <v>0</v>
      </c>
      <c r="Y51" s="5">
        <f t="shared" si="42"/>
        <v>6335234.123076923</v>
      </c>
      <c r="Z51" s="5">
        <f t="shared" si="43"/>
        <v>0</v>
      </c>
      <c r="AA51" s="5">
        <f t="shared" si="44"/>
        <v>0</v>
      </c>
      <c r="AB51" s="5">
        <f t="shared" si="45"/>
        <v>34843787.676923074</v>
      </c>
      <c r="AC51" s="5">
        <f t="shared" si="46"/>
        <v>0</v>
      </c>
      <c r="AD51" s="5">
        <f t="shared" si="47"/>
        <v>0</v>
      </c>
      <c r="AE51" s="5">
        <f t="shared" si="48"/>
        <v>6335234.123076923</v>
      </c>
      <c r="AF51" s="5">
        <f t="shared" si="49"/>
        <v>0</v>
      </c>
      <c r="AG51" s="5">
        <v>0</v>
      </c>
      <c r="AH51" s="1">
        <v>42</v>
      </c>
    </row>
    <row r="52" spans="24:32" ht="12.75">
      <c r="X52" s="5">
        <f aca="true" t="shared" si="50" ref="X52:AE52">SUM(X33:X51)</f>
        <v>456949270.4</v>
      </c>
      <c r="Y52" s="49">
        <f t="shared" si="50"/>
        <v>484093785.8615384</v>
      </c>
      <c r="Z52" s="49">
        <f>SUM(Z33:Z51)</f>
        <v>61736948</v>
      </c>
      <c r="AA52" s="5">
        <f t="shared" si="50"/>
        <v>2513220987.2000003</v>
      </c>
      <c r="AB52" s="5">
        <f t="shared" si="50"/>
        <v>2662515822.238462</v>
      </c>
      <c r="AC52" s="5">
        <f>SUM(AC33:AC51)</f>
        <v>339553214</v>
      </c>
      <c r="AD52" s="5">
        <f t="shared" si="50"/>
        <v>456949270.4</v>
      </c>
      <c r="AE52" s="5">
        <f t="shared" si="50"/>
        <v>205847016.63076922</v>
      </c>
      <c r="AF52" s="5">
        <f>SUM(AF33:AF51)</f>
        <v>61736948</v>
      </c>
    </row>
    <row r="53" spans="25:34" ht="12.75">
      <c r="Y53" s="87" t="s">
        <v>94</v>
      </c>
      <c r="Z53" s="82">
        <f>SUM(X52:Z52)</f>
        <v>1002780004.2615384</v>
      </c>
      <c r="AA53" s="8"/>
      <c r="AB53" s="8"/>
      <c r="AC53" s="8"/>
      <c r="AD53" s="5">
        <f>X52</f>
        <v>456949270.4</v>
      </c>
      <c r="AE53" s="49">
        <f>Y52</f>
        <v>484093785.8615384</v>
      </c>
      <c r="AH53" s="1">
        <f>SUM(AH33:AH52)</f>
        <v>2149</v>
      </c>
    </row>
    <row r="54" spans="24:32" ht="12.75">
      <c r="X54" s="8"/>
      <c r="Y54" s="8"/>
      <c r="Z54" s="8"/>
      <c r="AA54" s="8"/>
      <c r="AC54" s="8"/>
      <c r="AD54" s="8"/>
      <c r="AE54" s="88" t="s">
        <v>92</v>
      </c>
      <c r="AF54" s="82">
        <f>AA52+AB52+AC52+AD52+AE52+AF52+AD53+AE53</f>
        <v>7180866314.730768</v>
      </c>
    </row>
    <row r="56" spans="7:8" ht="12.75">
      <c r="G56" s="1" t="s">
        <v>128</v>
      </c>
      <c r="H56" t="s">
        <v>132</v>
      </c>
    </row>
    <row r="57" spans="1:32" ht="12.75">
      <c r="A57" s="1">
        <v>1</v>
      </c>
      <c r="B57" s="7">
        <v>11947716</v>
      </c>
      <c r="C57" s="7" t="s">
        <v>126</v>
      </c>
      <c r="D57" s="7">
        <v>12137844</v>
      </c>
      <c r="E57" s="84">
        <f>D57-B57</f>
        <v>190128</v>
      </c>
      <c r="F57" s="84">
        <f>((E57+(E57*40%)))</f>
        <v>266179.2</v>
      </c>
      <c r="G57" s="84">
        <f>(F57/12)*2</f>
        <v>44363.200000000004</v>
      </c>
      <c r="H57" s="85">
        <f>(F57/12)*11</f>
        <v>243997.60000000003</v>
      </c>
      <c r="I57" s="86"/>
      <c r="J57" s="12"/>
      <c r="K57" s="12"/>
      <c r="L57" s="12"/>
      <c r="M57" s="12"/>
      <c r="N57" s="12"/>
      <c r="X57" s="83"/>
      <c r="Y57" s="83"/>
      <c r="Z57" s="83"/>
      <c r="AA57" s="83"/>
      <c r="AB57" s="83"/>
      <c r="AC57" s="83"/>
      <c r="AD57" s="83"/>
      <c r="AE57" s="83"/>
      <c r="AF57" s="83"/>
    </row>
    <row r="58" spans="1:14" ht="12.75">
      <c r="A58" s="1" t="s">
        <v>115</v>
      </c>
      <c r="B58" s="7">
        <v>11958564</v>
      </c>
      <c r="C58" s="7" t="s">
        <v>126</v>
      </c>
      <c r="D58" s="7">
        <v>12137844</v>
      </c>
      <c r="E58" s="84">
        <f aca="true" t="shared" si="51" ref="E58:E75">D58-B58</f>
        <v>179280</v>
      </c>
      <c r="F58" s="84">
        <f aca="true" t="shared" si="52" ref="F58:F75">((E58+(E58*40%)))</f>
        <v>250992</v>
      </c>
      <c r="G58" s="84">
        <f aca="true" t="shared" si="53" ref="G58:G75">(F58/12)*2</f>
        <v>41832</v>
      </c>
      <c r="H58" s="85">
        <f aca="true" t="shared" si="54" ref="H58:H75">(F58/12)*11</f>
        <v>230076</v>
      </c>
      <c r="I58" s="86"/>
      <c r="J58" s="12"/>
      <c r="K58" s="12"/>
      <c r="L58" s="12"/>
      <c r="M58" s="12"/>
      <c r="N58" s="12"/>
    </row>
    <row r="59" spans="1:14" ht="12.75">
      <c r="A59" s="1">
        <v>2</v>
      </c>
      <c r="B59" s="7">
        <v>12017856</v>
      </c>
      <c r="C59" s="7" t="s">
        <v>126</v>
      </c>
      <c r="D59" s="7">
        <v>12137844</v>
      </c>
      <c r="E59" s="84">
        <f t="shared" si="51"/>
        <v>119988</v>
      </c>
      <c r="F59" s="84">
        <f t="shared" si="52"/>
        <v>167983.2</v>
      </c>
      <c r="G59" s="84">
        <f t="shared" si="53"/>
        <v>27997.2</v>
      </c>
      <c r="H59" s="85">
        <f t="shared" si="54"/>
        <v>153984.6</v>
      </c>
      <c r="I59" s="86"/>
      <c r="J59" s="12"/>
      <c r="K59" s="12"/>
      <c r="L59" s="12"/>
      <c r="M59" s="12"/>
      <c r="N59" s="12"/>
    </row>
    <row r="60" spans="1:14" ht="12.75">
      <c r="A60" s="1" t="s">
        <v>116</v>
      </c>
      <c r="B60" s="7">
        <v>12030744</v>
      </c>
      <c r="C60" s="7" t="s">
        <v>126</v>
      </c>
      <c r="D60" s="7">
        <v>12137844</v>
      </c>
      <c r="E60" s="84">
        <f t="shared" si="51"/>
        <v>107100</v>
      </c>
      <c r="F60" s="84">
        <f t="shared" si="52"/>
        <v>149940</v>
      </c>
      <c r="G60" s="84">
        <f t="shared" si="53"/>
        <v>24990</v>
      </c>
      <c r="H60" s="85">
        <f t="shared" si="54"/>
        <v>137445</v>
      </c>
      <c r="I60" s="86"/>
      <c r="J60" s="12"/>
      <c r="K60" s="12"/>
      <c r="L60" s="12"/>
      <c r="M60" s="12"/>
      <c r="N60" s="12"/>
    </row>
    <row r="61" spans="1:14" ht="12.75">
      <c r="A61" s="1">
        <v>3</v>
      </c>
      <c r="B61" s="7">
        <v>12090108</v>
      </c>
      <c r="C61" s="7" t="s">
        <v>126</v>
      </c>
      <c r="D61" s="7">
        <v>12137844</v>
      </c>
      <c r="E61" s="84">
        <f t="shared" si="51"/>
        <v>47736</v>
      </c>
      <c r="F61" s="84">
        <f t="shared" si="52"/>
        <v>66830.4</v>
      </c>
      <c r="G61" s="84">
        <f t="shared" si="53"/>
        <v>11138.4</v>
      </c>
      <c r="H61" s="85">
        <f t="shared" si="54"/>
        <v>61261.2</v>
      </c>
      <c r="I61" s="86"/>
      <c r="J61" s="12"/>
      <c r="K61" s="12"/>
      <c r="L61" s="12"/>
      <c r="M61" s="12"/>
      <c r="N61" s="12"/>
    </row>
    <row r="62" spans="1:14" ht="12.75">
      <c r="A62" s="1" t="s">
        <v>137</v>
      </c>
      <c r="B62" s="7">
        <v>12101412</v>
      </c>
      <c r="C62" s="7" t="s">
        <v>126</v>
      </c>
      <c r="D62" s="7">
        <v>12137844</v>
      </c>
      <c r="E62" s="84">
        <f t="shared" si="51"/>
        <v>36432</v>
      </c>
      <c r="F62" s="84">
        <f t="shared" si="52"/>
        <v>51004.8</v>
      </c>
      <c r="G62" s="84">
        <f t="shared" si="53"/>
        <v>8500.800000000001</v>
      </c>
      <c r="H62" s="85">
        <f t="shared" si="54"/>
        <v>46754.40000000001</v>
      </c>
      <c r="I62" s="86"/>
      <c r="J62" s="12"/>
      <c r="K62" s="12"/>
      <c r="L62" s="12"/>
      <c r="M62" s="12"/>
      <c r="N62" s="12"/>
    </row>
    <row r="63" spans="1:14" ht="12.75">
      <c r="A63" s="1">
        <v>3</v>
      </c>
      <c r="B63" s="7">
        <v>12090108</v>
      </c>
      <c r="C63" s="7" t="s">
        <v>9</v>
      </c>
      <c r="D63" s="7">
        <v>12229140</v>
      </c>
      <c r="E63" s="84">
        <f t="shared" si="51"/>
        <v>139032</v>
      </c>
      <c r="F63" s="84">
        <f t="shared" si="52"/>
        <v>194644.8</v>
      </c>
      <c r="G63" s="84">
        <f t="shared" si="53"/>
        <v>32440.8</v>
      </c>
      <c r="H63" s="85">
        <f t="shared" si="54"/>
        <v>178424.4</v>
      </c>
      <c r="I63" s="86"/>
      <c r="J63" s="12"/>
      <c r="K63" s="12"/>
      <c r="L63" s="12"/>
      <c r="M63" s="12"/>
      <c r="N63" s="12"/>
    </row>
    <row r="64" spans="1:14" ht="12.75">
      <c r="A64" s="1" t="s">
        <v>137</v>
      </c>
      <c r="B64" s="7">
        <v>12101412</v>
      </c>
      <c r="C64" s="7" t="s">
        <v>9</v>
      </c>
      <c r="D64" s="7">
        <v>12229140</v>
      </c>
      <c r="E64" s="84">
        <f t="shared" si="51"/>
        <v>127728</v>
      </c>
      <c r="F64" s="84">
        <f t="shared" si="52"/>
        <v>178819.2</v>
      </c>
      <c r="G64" s="84">
        <f t="shared" si="53"/>
        <v>29803.2</v>
      </c>
      <c r="H64" s="85">
        <f t="shared" si="54"/>
        <v>163917.6</v>
      </c>
      <c r="I64" s="86"/>
      <c r="J64" s="12"/>
      <c r="K64" s="12"/>
      <c r="L64" s="12"/>
      <c r="M64" s="12"/>
      <c r="N64" s="12"/>
    </row>
    <row r="65" spans="1:14" ht="12.75">
      <c r="A65" s="1">
        <v>4</v>
      </c>
      <c r="B65" s="7">
        <v>12166344</v>
      </c>
      <c r="C65" s="7" t="s">
        <v>10</v>
      </c>
      <c r="D65" s="7">
        <v>12282984</v>
      </c>
      <c r="E65" s="84">
        <f t="shared" si="51"/>
        <v>116640</v>
      </c>
      <c r="F65" s="84">
        <f t="shared" si="52"/>
        <v>163296</v>
      </c>
      <c r="G65" s="84">
        <f t="shared" si="53"/>
        <v>27216</v>
      </c>
      <c r="H65" s="85">
        <f t="shared" si="54"/>
        <v>149688</v>
      </c>
      <c r="I65" s="86"/>
      <c r="J65" s="12"/>
      <c r="K65" s="12"/>
      <c r="L65" s="12"/>
      <c r="M65" s="12"/>
      <c r="N65" s="12"/>
    </row>
    <row r="66" spans="1:14" ht="12.75">
      <c r="A66" s="1" t="s">
        <v>118</v>
      </c>
      <c r="B66" s="7">
        <v>12181488</v>
      </c>
      <c r="C66" s="7" t="s">
        <v>10</v>
      </c>
      <c r="D66" s="7">
        <v>12282984</v>
      </c>
      <c r="E66" s="84">
        <f t="shared" si="51"/>
        <v>101496</v>
      </c>
      <c r="F66" s="84">
        <f t="shared" si="52"/>
        <v>142094.4</v>
      </c>
      <c r="G66" s="84">
        <f t="shared" si="53"/>
        <v>23682.399999999998</v>
      </c>
      <c r="H66" s="85">
        <f t="shared" si="54"/>
        <v>130253.19999999998</v>
      </c>
      <c r="I66" s="86"/>
      <c r="J66" s="12"/>
      <c r="K66" s="12"/>
      <c r="L66" s="12"/>
      <c r="M66" s="12"/>
      <c r="N66" s="12"/>
    </row>
    <row r="67" spans="1:14" ht="12.75">
      <c r="A67" s="1">
        <v>5</v>
      </c>
      <c r="B67" s="7">
        <v>12273408</v>
      </c>
      <c r="C67" s="7" t="s">
        <v>11</v>
      </c>
      <c r="D67" s="7">
        <v>12285936</v>
      </c>
      <c r="E67" s="84">
        <f t="shared" si="51"/>
        <v>12528</v>
      </c>
      <c r="F67" s="84">
        <f t="shared" si="52"/>
        <v>17539.2</v>
      </c>
      <c r="G67" s="84">
        <f t="shared" si="53"/>
        <v>2923.2000000000003</v>
      </c>
      <c r="H67" s="85">
        <f t="shared" si="54"/>
        <v>16077.600000000002</v>
      </c>
      <c r="I67" s="86"/>
      <c r="J67" s="12"/>
      <c r="K67" s="12"/>
      <c r="L67" s="12"/>
      <c r="M67" s="12"/>
      <c r="N67" s="12"/>
    </row>
    <row r="68" spans="1:14" ht="12.75">
      <c r="A68" s="1" t="s">
        <v>119</v>
      </c>
      <c r="B68" s="7">
        <v>12285936</v>
      </c>
      <c r="C68" s="7" t="s">
        <v>11</v>
      </c>
      <c r="D68" s="7">
        <v>12285936</v>
      </c>
      <c r="E68" s="84">
        <f t="shared" si="51"/>
        <v>0</v>
      </c>
      <c r="F68" s="84">
        <f t="shared" si="52"/>
        <v>0</v>
      </c>
      <c r="G68" s="84">
        <f t="shared" si="53"/>
        <v>0</v>
      </c>
      <c r="H68" s="85">
        <f t="shared" si="54"/>
        <v>0</v>
      </c>
      <c r="I68" s="86"/>
      <c r="J68" s="12"/>
      <c r="K68" s="12"/>
      <c r="L68" s="12"/>
      <c r="M68" s="12"/>
      <c r="N68" s="12"/>
    </row>
    <row r="69" spans="1:14" ht="12.75">
      <c r="A69" s="1">
        <v>5</v>
      </c>
      <c r="B69" s="7">
        <v>12273408</v>
      </c>
      <c r="C69" s="7" t="s">
        <v>121</v>
      </c>
      <c r="D69" s="7">
        <v>12347484</v>
      </c>
      <c r="E69" s="84">
        <f t="shared" si="51"/>
        <v>74076</v>
      </c>
      <c r="F69" s="84">
        <f t="shared" si="52"/>
        <v>103706.4</v>
      </c>
      <c r="G69" s="84">
        <f t="shared" si="53"/>
        <v>17284.399999999998</v>
      </c>
      <c r="H69" s="85">
        <f t="shared" si="54"/>
        <v>95064.19999999998</v>
      </c>
      <c r="I69" s="86"/>
      <c r="J69" s="12"/>
      <c r="K69" s="12"/>
      <c r="L69" s="12"/>
      <c r="M69" s="12"/>
      <c r="N69" s="12"/>
    </row>
    <row r="70" spans="1:14" ht="12.75">
      <c r="A70" s="1" t="s">
        <v>119</v>
      </c>
      <c r="B70" s="7">
        <v>12285936</v>
      </c>
      <c r="C70" s="7" t="s">
        <v>121</v>
      </c>
      <c r="D70" s="7">
        <v>12347484</v>
      </c>
      <c r="E70" s="84">
        <f t="shared" si="51"/>
        <v>61548</v>
      </c>
      <c r="F70" s="84">
        <f t="shared" si="52"/>
        <v>86167.2</v>
      </c>
      <c r="G70" s="84">
        <f t="shared" si="53"/>
        <v>14361.199999999999</v>
      </c>
      <c r="H70" s="85">
        <f t="shared" si="54"/>
        <v>78986.59999999999</v>
      </c>
      <c r="I70" s="86"/>
      <c r="J70" s="12"/>
      <c r="K70" s="12"/>
      <c r="L70" s="12"/>
      <c r="M70" s="12"/>
      <c r="N70" s="12"/>
    </row>
    <row r="71" spans="1:14" ht="12.75">
      <c r="A71" s="1">
        <v>6</v>
      </c>
      <c r="B71" s="7">
        <v>12355440</v>
      </c>
      <c r="C71" s="7" t="s">
        <v>13</v>
      </c>
      <c r="D71" s="7">
        <v>12546288</v>
      </c>
      <c r="E71" s="84">
        <f t="shared" si="51"/>
        <v>190848</v>
      </c>
      <c r="F71" s="84">
        <f t="shared" si="52"/>
        <v>267187.2</v>
      </c>
      <c r="G71" s="84">
        <f t="shared" si="53"/>
        <v>44531.200000000004</v>
      </c>
      <c r="H71" s="85">
        <f t="shared" si="54"/>
        <v>244921.60000000003</v>
      </c>
      <c r="I71" s="86"/>
      <c r="J71" s="12"/>
      <c r="K71" s="12"/>
      <c r="L71" s="12"/>
      <c r="M71" s="12"/>
      <c r="N71" s="12"/>
    </row>
    <row r="72" spans="1:14" ht="12.75">
      <c r="A72" s="1" t="s">
        <v>138</v>
      </c>
      <c r="B72" s="7">
        <v>12378036</v>
      </c>
      <c r="C72" s="7" t="s">
        <v>13</v>
      </c>
      <c r="D72" s="7">
        <v>12546288</v>
      </c>
      <c r="E72" s="84">
        <f t="shared" si="51"/>
        <v>168252</v>
      </c>
      <c r="F72" s="84">
        <f t="shared" si="52"/>
        <v>235552.8</v>
      </c>
      <c r="G72" s="84">
        <f t="shared" si="53"/>
        <v>39258.799999999996</v>
      </c>
      <c r="H72" s="85">
        <f t="shared" si="54"/>
        <v>215923.39999999997</v>
      </c>
      <c r="I72" s="86"/>
      <c r="J72" s="12"/>
      <c r="K72" s="12"/>
      <c r="L72" s="12"/>
      <c r="M72" s="12"/>
      <c r="N72" s="12"/>
    </row>
    <row r="73" spans="1:14" ht="12.75">
      <c r="A73" s="1">
        <v>7</v>
      </c>
      <c r="B73" s="7">
        <v>12500220</v>
      </c>
      <c r="C73" s="7" t="s">
        <v>127</v>
      </c>
      <c r="D73" s="7">
        <v>12846312</v>
      </c>
      <c r="E73" s="84">
        <f t="shared" si="51"/>
        <v>346092</v>
      </c>
      <c r="F73" s="84">
        <f t="shared" si="52"/>
        <v>484528.80000000005</v>
      </c>
      <c r="G73" s="84">
        <f t="shared" si="53"/>
        <v>80754.8</v>
      </c>
      <c r="H73" s="85">
        <f t="shared" si="54"/>
        <v>444151.4</v>
      </c>
      <c r="I73" s="86"/>
      <c r="J73" s="12"/>
      <c r="K73" s="12"/>
      <c r="L73" s="12"/>
      <c r="M73" s="12"/>
      <c r="N73" s="12"/>
    </row>
    <row r="74" spans="1:14" ht="12.75">
      <c r="A74" s="1" t="s">
        <v>122</v>
      </c>
      <c r="B74" s="7">
        <v>12553920</v>
      </c>
      <c r="C74" s="7" t="s">
        <v>127</v>
      </c>
      <c r="D74" s="7">
        <v>12846312</v>
      </c>
      <c r="E74" s="84">
        <f t="shared" si="51"/>
        <v>292392</v>
      </c>
      <c r="F74" s="84">
        <f t="shared" si="52"/>
        <v>409348.8</v>
      </c>
      <c r="G74" s="84">
        <f t="shared" si="53"/>
        <v>68224.8</v>
      </c>
      <c r="H74" s="85">
        <f t="shared" si="54"/>
        <v>375236.4</v>
      </c>
      <c r="I74" s="86"/>
      <c r="J74" s="12"/>
      <c r="K74" s="12"/>
      <c r="L74" s="12"/>
      <c r="M74" s="12"/>
      <c r="N74" s="12"/>
    </row>
    <row r="75" spans="1:14" ht="12.75">
      <c r="A75" s="1">
        <v>8</v>
      </c>
      <c r="B75" s="7">
        <v>12846312</v>
      </c>
      <c r="C75" s="7" t="s">
        <v>127</v>
      </c>
      <c r="D75" s="7">
        <v>12846312</v>
      </c>
      <c r="E75" s="84">
        <f t="shared" si="51"/>
        <v>0</v>
      </c>
      <c r="F75" s="84">
        <f t="shared" si="52"/>
        <v>0</v>
      </c>
      <c r="G75" s="84">
        <f t="shared" si="53"/>
        <v>0</v>
      </c>
      <c r="H75" s="85">
        <f t="shared" si="54"/>
        <v>0</v>
      </c>
      <c r="I75" s="86"/>
      <c r="J75" s="12"/>
      <c r="K75" s="12"/>
      <c r="L75" s="12"/>
      <c r="M75" s="12"/>
      <c r="N75" s="12"/>
    </row>
    <row r="78" spans="3:4" ht="12.75">
      <c r="C78" s="7" t="s">
        <v>126</v>
      </c>
      <c r="D78" s="7">
        <v>12137844</v>
      </c>
    </row>
    <row r="79" spans="3:4" ht="12.75">
      <c r="C79" s="7" t="s">
        <v>126</v>
      </c>
      <c r="D79" s="7">
        <v>12137844</v>
      </c>
    </row>
    <row r="80" spans="3:4" ht="12.75">
      <c r="C80" s="7" t="s">
        <v>126</v>
      </c>
      <c r="D80" s="7">
        <v>12137844</v>
      </c>
    </row>
    <row r="81" spans="3:4" ht="12.75">
      <c r="C81" s="7" t="s">
        <v>9</v>
      </c>
      <c r="D81" s="7">
        <v>12229140</v>
      </c>
    </row>
    <row r="82" spans="3:4" ht="12.75">
      <c r="C82" s="7" t="s">
        <v>9</v>
      </c>
      <c r="D82" s="7">
        <v>12229140</v>
      </c>
    </row>
    <row r="83" spans="3:4" ht="12.75">
      <c r="C83" s="7" t="s">
        <v>10</v>
      </c>
      <c r="D83" s="7">
        <v>12282984</v>
      </c>
    </row>
    <row r="84" spans="3:4" ht="12.75">
      <c r="C84" s="7" t="s">
        <v>10</v>
      </c>
      <c r="D84" s="7">
        <v>12282984</v>
      </c>
    </row>
    <row r="85" spans="3:4" ht="12.75">
      <c r="C85" s="7" t="s">
        <v>11</v>
      </c>
      <c r="D85" s="7">
        <v>12285936</v>
      </c>
    </row>
    <row r="86" spans="3:4" ht="12.75">
      <c r="C86" s="7" t="s">
        <v>121</v>
      </c>
      <c r="D86" s="7">
        <v>12347484</v>
      </c>
    </row>
    <row r="87" spans="3:4" ht="12.75">
      <c r="C87" s="7" t="s">
        <v>121</v>
      </c>
      <c r="D87" s="7">
        <v>12347484</v>
      </c>
    </row>
    <row r="88" spans="3:4" ht="12.75">
      <c r="C88" s="7" t="s">
        <v>13</v>
      </c>
      <c r="D88" s="7">
        <v>12546288</v>
      </c>
    </row>
    <row r="89" spans="3:4" ht="12.75">
      <c r="C89" s="6" t="s">
        <v>127</v>
      </c>
      <c r="D89" s="7">
        <v>12846312</v>
      </c>
    </row>
  </sheetData>
  <mergeCells count="3">
    <mergeCell ref="A2:AF2"/>
    <mergeCell ref="A3:AF3"/>
    <mergeCell ref="A5:AF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A.R.R.S.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A.R.R.S.</dc:creator>
  <cp:keywords/>
  <dc:description/>
  <cp:lastModifiedBy>HP3</cp:lastModifiedBy>
  <cp:lastPrinted>2000-05-24T14:17:11Z</cp:lastPrinted>
  <dcterms:created xsi:type="dcterms:W3CDTF">1999-06-24T13:35:25Z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